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bridlevel.sharepoint.com/teams/Sales/Megosztott dokumentumok/Dashboard/Hatályos tájékoztatók - CSAK EVELIN SZERKESZTHETI/Aktuális feltöltendő dokumentumok/"/>
    </mc:Choice>
  </mc:AlternateContent>
  <xr:revisionPtr revIDLastSave="22" documentId="8_{92AC2E16-CF0D-4166-AB43-9AEA2111E5BE}" xr6:coauthVersionLast="47" xr6:coauthVersionMax="47" xr10:uidLastSave="{D3C613EE-6CE1-47FA-8BCD-CC2821257F54}"/>
  <bookViews>
    <workbookView xWindow="-120" yWindow="-120" windowWidth="29040" windowHeight="15840" tabRatio="783" xr2:uid="{410E73BD-47FC-4323-88BF-007CF8BEAB8B}"/>
  </bookViews>
  <sheets>
    <sheet name="Normál feladás" sheetId="2" r:id="rId1"/>
    <sheet name="Színes nyomtatás" sheetId="6" r:id="rId2"/>
    <sheet name="Elsőbbségi Feladás" sheetId="3" r:id="rId3"/>
    <sheet name="Ajánlott Feladás" sheetId="4" r:id="rId4"/>
    <sheet name="Ajánlott + Tértivevényes" sheetId="5" r:id="rId5"/>
    <sheet name="Árlista 2025.01.01" sheetId="1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D13" i="3"/>
  <c r="H6" i="2"/>
  <c r="I6" i="4"/>
  <c r="K6" i="4"/>
  <c r="C6" i="4"/>
  <c r="P27" i="6"/>
  <c r="J13" i="5"/>
  <c r="J12" i="5"/>
  <c r="D13" i="5"/>
  <c r="C13" i="5"/>
  <c r="J13" i="4"/>
  <c r="J12" i="4"/>
  <c r="D13" i="4"/>
  <c r="D12" i="4"/>
  <c r="C13" i="4"/>
  <c r="B15" i="5"/>
  <c r="B14" i="5"/>
  <c r="B13" i="5"/>
  <c r="B12" i="5"/>
  <c r="B11" i="5"/>
  <c r="B10" i="5"/>
  <c r="B9" i="5"/>
  <c r="B8" i="5"/>
  <c r="B7" i="5"/>
  <c r="B6" i="5"/>
  <c r="B15" i="4"/>
  <c r="B14" i="4"/>
  <c r="B13" i="4"/>
  <c r="B12" i="4"/>
  <c r="B11" i="4"/>
  <c r="B10" i="4"/>
  <c r="B9" i="4"/>
  <c r="B8" i="4"/>
  <c r="B7" i="4"/>
  <c r="B6" i="4"/>
  <c r="I13" i="3"/>
  <c r="I12" i="3"/>
  <c r="C13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I15" i="6"/>
  <c r="I16" i="6"/>
  <c r="I17" i="6"/>
  <c r="I14" i="6"/>
  <c r="D15" i="6"/>
  <c r="D16" i="6"/>
  <c r="D17" i="6"/>
  <c r="D14" i="6"/>
  <c r="D12" i="6"/>
  <c r="H12" i="6" s="1"/>
  <c r="J12" i="6" s="1"/>
  <c r="K12" i="6" s="1"/>
  <c r="L12" i="6" s="1"/>
  <c r="D13" i="6"/>
  <c r="C15" i="6"/>
  <c r="C16" i="6"/>
  <c r="C17" i="6"/>
  <c r="C14" i="6"/>
  <c r="C14" i="2"/>
  <c r="C12" i="6"/>
  <c r="C13" i="6"/>
  <c r="B17" i="6"/>
  <c r="B16" i="6"/>
  <c r="B15" i="6"/>
  <c r="B14" i="6"/>
  <c r="B13" i="6"/>
  <c r="B12" i="6"/>
  <c r="B11" i="6"/>
  <c r="B10" i="6"/>
  <c r="B9" i="6"/>
  <c r="B8" i="6"/>
  <c r="B7" i="6"/>
  <c r="B6" i="6"/>
  <c r="E12" i="6"/>
  <c r="F12" i="6"/>
  <c r="G12" i="6"/>
  <c r="I12" i="6"/>
  <c r="E13" i="6"/>
  <c r="H13" i="6" s="1"/>
  <c r="J13" i="6" s="1"/>
  <c r="K13" i="6" s="1"/>
  <c r="L13" i="6" s="1"/>
  <c r="F13" i="6"/>
  <c r="G13" i="6"/>
  <c r="I13" i="6"/>
  <c r="E14" i="6"/>
  <c r="F14" i="6"/>
  <c r="G14" i="6"/>
  <c r="E15" i="6"/>
  <c r="F15" i="6"/>
  <c r="G15" i="6"/>
  <c r="H15" i="6"/>
  <c r="E16" i="6"/>
  <c r="H16" i="6" s="1"/>
  <c r="J16" i="6" s="1"/>
  <c r="K16" i="6" s="1"/>
  <c r="L16" i="6" s="1"/>
  <c r="F16" i="6"/>
  <c r="G16" i="6"/>
  <c r="E17" i="6"/>
  <c r="F17" i="6"/>
  <c r="G17" i="6"/>
  <c r="I12" i="5"/>
  <c r="D12" i="5"/>
  <c r="I13" i="2"/>
  <c r="I12" i="2"/>
  <c r="I11" i="2"/>
  <c r="D13" i="2"/>
  <c r="D12" i="2"/>
  <c r="C13" i="2"/>
  <c r="B14" i="2"/>
  <c r="B13" i="2"/>
  <c r="B12" i="2"/>
  <c r="H7" i="5"/>
  <c r="H8" i="5"/>
  <c r="H9" i="5"/>
  <c r="H10" i="5"/>
  <c r="H11" i="5"/>
  <c r="H12" i="5"/>
  <c r="H13" i="5"/>
  <c r="H14" i="5"/>
  <c r="H15" i="5"/>
  <c r="H6" i="5"/>
  <c r="J15" i="6" l="1"/>
  <c r="K15" i="6" s="1"/>
  <c r="L15" i="6" s="1"/>
  <c r="H14" i="6"/>
  <c r="J14" i="6" s="1"/>
  <c r="K14" i="6" s="1"/>
  <c r="L14" i="6" s="1"/>
  <c r="H17" i="6"/>
  <c r="J17" i="6" s="1"/>
  <c r="K17" i="6" s="1"/>
  <c r="L17" i="6" s="1"/>
  <c r="B25" i="2"/>
  <c r="I13" i="1"/>
  <c r="C22" i="2" l="1"/>
  <c r="C10" i="2"/>
  <c r="C6" i="3" l="1"/>
  <c r="C6" i="2"/>
  <c r="C7" i="2"/>
  <c r="C8" i="2"/>
  <c r="C9" i="2"/>
  <c r="C11" i="2"/>
  <c r="C12" i="2"/>
  <c r="C15" i="2"/>
  <c r="C16" i="2"/>
  <c r="C17" i="2"/>
  <c r="C18" i="2"/>
  <c r="C19" i="2"/>
  <c r="C20" i="2"/>
  <c r="C21" i="2"/>
  <c r="C23" i="2"/>
  <c r="C24" i="2"/>
  <c r="C25" i="2"/>
  <c r="F6" i="3"/>
  <c r="Q15" i="5"/>
  <c r="Q15" i="4"/>
  <c r="P15" i="3"/>
  <c r="P15" i="6"/>
  <c r="F6" i="6" s="1"/>
  <c r="D6" i="2"/>
  <c r="I7" i="2"/>
  <c r="I6" i="2"/>
  <c r="E12" i="2"/>
  <c r="D11" i="2"/>
  <c r="C14" i="5"/>
  <c r="C15" i="5"/>
  <c r="C7" i="5"/>
  <c r="C8" i="5"/>
  <c r="C9" i="5"/>
  <c r="C10" i="5"/>
  <c r="C11" i="5"/>
  <c r="C12" i="5"/>
  <c r="C6" i="5"/>
  <c r="J6" i="4"/>
  <c r="H7" i="4"/>
  <c r="H8" i="4"/>
  <c r="H9" i="4"/>
  <c r="H10" i="4"/>
  <c r="H11" i="4"/>
  <c r="H12" i="4"/>
  <c r="H13" i="4"/>
  <c r="H14" i="4"/>
  <c r="H15" i="4"/>
  <c r="H6" i="4"/>
  <c r="C14" i="4"/>
  <c r="C15" i="4"/>
  <c r="C7" i="4"/>
  <c r="C8" i="4"/>
  <c r="C9" i="4"/>
  <c r="C10" i="4"/>
  <c r="C11" i="4"/>
  <c r="C12" i="4"/>
  <c r="C14" i="3"/>
  <c r="C15" i="3"/>
  <c r="C16" i="3"/>
  <c r="C17" i="3"/>
  <c r="C18" i="3"/>
  <c r="C19" i="3"/>
  <c r="C20" i="3"/>
  <c r="C21" i="3"/>
  <c r="C22" i="3"/>
  <c r="C23" i="3"/>
  <c r="C24" i="3"/>
  <c r="C25" i="3"/>
  <c r="C12" i="3"/>
  <c r="C8" i="3"/>
  <c r="C9" i="3"/>
  <c r="C10" i="3"/>
  <c r="C11" i="3"/>
  <c r="C7" i="3"/>
  <c r="C7" i="6"/>
  <c r="C8" i="6"/>
  <c r="C9" i="6"/>
  <c r="C10" i="6"/>
  <c r="C11" i="6"/>
  <c r="C6" i="6"/>
  <c r="B15" i="2" l="1"/>
  <c r="B16" i="2"/>
  <c r="B17" i="2"/>
  <c r="B18" i="2"/>
  <c r="B19" i="2"/>
  <c r="B20" i="2"/>
  <c r="B21" i="2"/>
  <c r="B22" i="2"/>
  <c r="B23" i="2"/>
  <c r="B24" i="2"/>
  <c r="D16" i="3"/>
  <c r="E16" i="3"/>
  <c r="I16" i="3"/>
  <c r="D17" i="3"/>
  <c r="E17" i="3"/>
  <c r="I17" i="3"/>
  <c r="D18" i="3"/>
  <c r="E18" i="3"/>
  <c r="I18" i="3"/>
  <c r="D19" i="3"/>
  <c r="E19" i="3"/>
  <c r="I19" i="3"/>
  <c r="D20" i="3"/>
  <c r="E20" i="3"/>
  <c r="I20" i="3"/>
  <c r="D21" i="3"/>
  <c r="E21" i="3"/>
  <c r="I21" i="3"/>
  <c r="D22" i="3"/>
  <c r="E22" i="3"/>
  <c r="I22" i="3"/>
  <c r="D23" i="3"/>
  <c r="E23" i="3"/>
  <c r="I23" i="3"/>
  <c r="D24" i="3"/>
  <c r="E24" i="3"/>
  <c r="I24" i="3"/>
  <c r="D25" i="3"/>
  <c r="E25" i="3"/>
  <c r="I25" i="3"/>
  <c r="P27" i="2"/>
  <c r="I11" i="6"/>
  <c r="I10" i="6"/>
  <c r="I7" i="6" l="1"/>
  <c r="I8" i="6"/>
  <c r="I9" i="6"/>
  <c r="I6" i="6"/>
  <c r="J14" i="5" l="1"/>
  <c r="J15" i="5"/>
  <c r="J7" i="5"/>
  <c r="J8" i="5"/>
  <c r="J9" i="5"/>
  <c r="J10" i="5"/>
  <c r="J11" i="5"/>
  <c r="J6" i="5"/>
  <c r="J14" i="4"/>
  <c r="J15" i="4"/>
  <c r="J7" i="4"/>
  <c r="J8" i="4"/>
  <c r="J9" i="4"/>
  <c r="J10" i="4"/>
  <c r="J11" i="4"/>
  <c r="I14" i="3"/>
  <c r="I15" i="3"/>
  <c r="I7" i="3"/>
  <c r="I8" i="3"/>
  <c r="I9" i="3"/>
  <c r="I10" i="3"/>
  <c r="I11" i="3"/>
  <c r="I6" i="3"/>
  <c r="I14" i="2"/>
  <c r="I25" i="2"/>
  <c r="I15" i="2"/>
  <c r="I16" i="2"/>
  <c r="I17" i="2"/>
  <c r="I18" i="2"/>
  <c r="I19" i="2"/>
  <c r="I20" i="2"/>
  <c r="I21" i="2"/>
  <c r="I22" i="2"/>
  <c r="I23" i="2"/>
  <c r="I24" i="2"/>
  <c r="I8" i="2"/>
  <c r="I9" i="2"/>
  <c r="I10" i="2"/>
  <c r="D10" i="6" l="1"/>
  <c r="E10" i="6"/>
  <c r="D11" i="6"/>
  <c r="E11" i="6"/>
  <c r="E6" i="2"/>
  <c r="E9" i="6" l="1"/>
  <c r="D9" i="6"/>
  <c r="E8" i="6"/>
  <c r="D8" i="6"/>
  <c r="E7" i="6"/>
  <c r="D7" i="6"/>
  <c r="E6" i="6"/>
  <c r="D6" i="6"/>
  <c r="Q27" i="5"/>
  <c r="G10" i="5" s="1"/>
  <c r="F15" i="5"/>
  <c r="E15" i="5"/>
  <c r="D15" i="5"/>
  <c r="E14" i="5"/>
  <c r="D14" i="5"/>
  <c r="E13" i="5"/>
  <c r="E12" i="5"/>
  <c r="F11" i="5"/>
  <c r="E11" i="5"/>
  <c r="D11" i="5"/>
  <c r="F10" i="5"/>
  <c r="E10" i="5"/>
  <c r="D10" i="5"/>
  <c r="E9" i="5"/>
  <c r="D9" i="5"/>
  <c r="E8" i="5"/>
  <c r="D8" i="5"/>
  <c r="E7" i="5"/>
  <c r="D7" i="5"/>
  <c r="E6" i="5"/>
  <c r="D6" i="5"/>
  <c r="Q27" i="4"/>
  <c r="G11" i="4" s="1"/>
  <c r="F15" i="4"/>
  <c r="E15" i="4"/>
  <c r="D15" i="4"/>
  <c r="G14" i="4"/>
  <c r="E14" i="4"/>
  <c r="D14" i="4"/>
  <c r="E13" i="4"/>
  <c r="E12" i="4"/>
  <c r="E11" i="4"/>
  <c r="D11" i="4"/>
  <c r="G10" i="4"/>
  <c r="E10" i="4"/>
  <c r="D10" i="4"/>
  <c r="G9" i="4"/>
  <c r="E9" i="4"/>
  <c r="D9" i="4"/>
  <c r="E8" i="4"/>
  <c r="D8" i="4"/>
  <c r="E7" i="4"/>
  <c r="D7" i="4"/>
  <c r="E6" i="4"/>
  <c r="D6" i="4"/>
  <c r="P27" i="3"/>
  <c r="F15" i="3"/>
  <c r="E15" i="3"/>
  <c r="D15" i="3"/>
  <c r="E14" i="3"/>
  <c r="D14" i="3"/>
  <c r="E13" i="3"/>
  <c r="E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E6" i="3"/>
  <c r="D6" i="3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P15" i="2"/>
  <c r="F6" i="2" s="1"/>
  <c r="E15" i="2"/>
  <c r="D15" i="2"/>
  <c r="E14" i="2"/>
  <c r="D14" i="2"/>
  <c r="E13" i="2"/>
  <c r="E11" i="2"/>
  <c r="B11" i="2"/>
  <c r="E10" i="2"/>
  <c r="D10" i="2"/>
  <c r="B10" i="2"/>
  <c r="E9" i="2"/>
  <c r="D9" i="2"/>
  <c r="B9" i="2"/>
  <c r="E8" i="2"/>
  <c r="D8" i="2"/>
  <c r="B8" i="2"/>
  <c r="E7" i="2"/>
  <c r="D7" i="2"/>
  <c r="B7" i="2"/>
  <c r="B6" i="2"/>
  <c r="I25" i="1"/>
  <c r="H6" i="3" l="1"/>
  <c r="G9" i="5"/>
  <c r="F18" i="3"/>
  <c r="F21" i="3"/>
  <c r="F19" i="3"/>
  <c r="H19" i="3" s="1"/>
  <c r="J19" i="3" s="1"/>
  <c r="K19" i="3" s="1"/>
  <c r="L19" i="3" s="1"/>
  <c r="F16" i="3"/>
  <c r="F23" i="3"/>
  <c r="F17" i="3"/>
  <c r="H17" i="3" s="1"/>
  <c r="J17" i="3" s="1"/>
  <c r="K17" i="3" s="1"/>
  <c r="L17" i="3" s="1"/>
  <c r="F20" i="3"/>
  <c r="F24" i="3"/>
  <c r="H24" i="3" s="1"/>
  <c r="J24" i="3" s="1"/>
  <c r="K24" i="3" s="1"/>
  <c r="L24" i="3" s="1"/>
  <c r="F25" i="3"/>
  <c r="F22" i="3"/>
  <c r="F13" i="3"/>
  <c r="G14" i="3"/>
  <c r="G17" i="3"/>
  <c r="G20" i="3"/>
  <c r="G18" i="3"/>
  <c r="G25" i="3"/>
  <c r="G19" i="3"/>
  <c r="G22" i="3"/>
  <c r="G16" i="3"/>
  <c r="G23" i="3"/>
  <c r="G24" i="3"/>
  <c r="G21" i="3"/>
  <c r="G6" i="4"/>
  <c r="G7" i="4"/>
  <c r="F8" i="4"/>
  <c r="G12" i="4"/>
  <c r="G7" i="5"/>
  <c r="F8" i="5"/>
  <c r="F13" i="5"/>
  <c r="F14" i="3"/>
  <c r="G13" i="4"/>
  <c r="F6" i="5"/>
  <c r="I6" i="5" s="1"/>
  <c r="F7" i="5"/>
  <c r="F14" i="5"/>
  <c r="F12" i="3"/>
  <c r="G8" i="4"/>
  <c r="F9" i="4"/>
  <c r="I9" i="4" s="1"/>
  <c r="G15" i="4"/>
  <c r="I15" i="4" s="1"/>
  <c r="K15" i="4" s="1"/>
  <c r="L15" i="4" s="1"/>
  <c r="M15" i="4" s="1"/>
  <c r="G8" i="5"/>
  <c r="F9" i="5"/>
  <c r="F12" i="5"/>
  <c r="G22" i="2"/>
  <c r="G6" i="2"/>
  <c r="J6" i="2" s="1"/>
  <c r="F12" i="2"/>
  <c r="G15" i="5"/>
  <c r="I15" i="5" s="1"/>
  <c r="K15" i="5" s="1"/>
  <c r="L15" i="5" s="1"/>
  <c r="M15" i="5" s="1"/>
  <c r="G12" i="5"/>
  <c r="G6" i="5"/>
  <c r="G14" i="5"/>
  <c r="I10" i="5"/>
  <c r="G11" i="5"/>
  <c r="I11" i="5" s="1"/>
  <c r="K11" i="5" s="1"/>
  <c r="L11" i="5" s="1"/>
  <c r="M11" i="5" s="1"/>
  <c r="G13" i="5"/>
  <c r="F6" i="4"/>
  <c r="I8" i="4"/>
  <c r="K8" i="4" s="1"/>
  <c r="L8" i="4" s="1"/>
  <c r="M8" i="4" s="1"/>
  <c r="F13" i="4"/>
  <c r="I13" i="4" s="1"/>
  <c r="F12" i="4"/>
  <c r="I12" i="4" s="1"/>
  <c r="G16" i="2"/>
  <c r="G12" i="2"/>
  <c r="G14" i="2"/>
  <c r="G10" i="2"/>
  <c r="F9" i="2"/>
  <c r="G23" i="2"/>
  <c r="G21" i="2"/>
  <c r="G7" i="2"/>
  <c r="G11" i="2"/>
  <c r="G15" i="2"/>
  <c r="G17" i="2"/>
  <c r="G24" i="2"/>
  <c r="G9" i="2"/>
  <c r="G13" i="2"/>
  <c r="G8" i="2"/>
  <c r="F11" i="2"/>
  <c r="F8" i="2"/>
  <c r="F14" i="2"/>
  <c r="F10" i="2"/>
  <c r="F13" i="2"/>
  <c r="F7" i="2"/>
  <c r="F15" i="2"/>
  <c r="G19" i="2"/>
  <c r="F24" i="2"/>
  <c r="G18" i="2"/>
  <c r="G20" i="2"/>
  <c r="F9" i="6"/>
  <c r="H9" i="6" s="1"/>
  <c r="J9" i="6" s="1"/>
  <c r="F10" i="6"/>
  <c r="H10" i="6" s="1"/>
  <c r="J10" i="6" s="1"/>
  <c r="F11" i="6"/>
  <c r="H11" i="6" s="1"/>
  <c r="J11" i="6" s="1"/>
  <c r="G7" i="6"/>
  <c r="G10" i="6"/>
  <c r="G11" i="6"/>
  <c r="G9" i="6"/>
  <c r="H6" i="6"/>
  <c r="G6" i="6"/>
  <c r="F7" i="6"/>
  <c r="H7" i="6" s="1"/>
  <c r="J7" i="6" s="1"/>
  <c r="G8" i="6"/>
  <c r="F8" i="6"/>
  <c r="H8" i="6" s="1"/>
  <c r="J8" i="6" s="1"/>
  <c r="F10" i="4"/>
  <c r="I10" i="4" s="1"/>
  <c r="F14" i="4"/>
  <c r="I14" i="4" s="1"/>
  <c r="F7" i="4"/>
  <c r="F11" i="4"/>
  <c r="I11" i="4" s="1"/>
  <c r="G7" i="3"/>
  <c r="H7" i="3" s="1"/>
  <c r="J7" i="3" s="1"/>
  <c r="K7" i="3" s="1"/>
  <c r="L7" i="3" s="1"/>
  <c r="G11" i="3"/>
  <c r="H11" i="3" s="1"/>
  <c r="J11" i="3" s="1"/>
  <c r="K11" i="3" s="1"/>
  <c r="L11" i="3" s="1"/>
  <c r="G15" i="3"/>
  <c r="H15" i="3" s="1"/>
  <c r="J15" i="3" s="1"/>
  <c r="K15" i="3" s="1"/>
  <c r="L15" i="3" s="1"/>
  <c r="G12" i="3"/>
  <c r="G9" i="3"/>
  <c r="H9" i="3" s="1"/>
  <c r="J9" i="3" s="1"/>
  <c r="K9" i="3" s="1"/>
  <c r="L9" i="3" s="1"/>
  <c r="G13" i="3"/>
  <c r="G8" i="3"/>
  <c r="H8" i="3" s="1"/>
  <c r="J8" i="3" s="1"/>
  <c r="K8" i="3" s="1"/>
  <c r="L8" i="3" s="1"/>
  <c r="G6" i="3"/>
  <c r="G10" i="3"/>
  <c r="H10" i="3" s="1"/>
  <c r="J10" i="3" s="1"/>
  <c r="K10" i="3" s="1"/>
  <c r="L10" i="3" s="1"/>
  <c r="F17" i="2"/>
  <c r="F21" i="2"/>
  <c r="F25" i="2"/>
  <c r="G25" i="2"/>
  <c r="F18" i="2"/>
  <c r="F22" i="2"/>
  <c r="F19" i="2"/>
  <c r="F23" i="2"/>
  <c r="F16" i="2"/>
  <c r="F20" i="2"/>
  <c r="H9" i="2" l="1"/>
  <c r="H15" i="2"/>
  <c r="J15" i="2" s="1"/>
  <c r="H11" i="2"/>
  <c r="H7" i="2"/>
  <c r="K6" i="2"/>
  <c r="L6" i="2" s="1"/>
  <c r="H10" i="2"/>
  <c r="J10" i="2" s="1"/>
  <c r="K10" i="2" s="1"/>
  <c r="L10" i="2" s="1"/>
  <c r="H8" i="2"/>
  <c r="J6" i="6"/>
  <c r="K6" i="6" s="1"/>
  <c r="L6" i="6" s="1"/>
  <c r="J6" i="3"/>
  <c r="K6" i="3" s="1"/>
  <c r="L6" i="3" s="1"/>
  <c r="I13" i="5"/>
  <c r="K13" i="5" s="1"/>
  <c r="L13" i="5" s="1"/>
  <c r="M13" i="5" s="1"/>
  <c r="I7" i="5"/>
  <c r="K7" i="5" s="1"/>
  <c r="L7" i="5" s="1"/>
  <c r="M7" i="5" s="1"/>
  <c r="H12" i="2"/>
  <c r="J12" i="2" s="1"/>
  <c r="K12" i="2" s="1"/>
  <c r="L12" i="2" s="1"/>
  <c r="I9" i="5"/>
  <c r="K9" i="5" s="1"/>
  <c r="L9" i="5" s="1"/>
  <c r="M9" i="5" s="1"/>
  <c r="H13" i="3"/>
  <c r="J13" i="3" s="1"/>
  <c r="K13" i="3" s="1"/>
  <c r="L13" i="3" s="1"/>
  <c r="H14" i="3"/>
  <c r="J14" i="3" s="1"/>
  <c r="K14" i="3" s="1"/>
  <c r="L14" i="3" s="1"/>
  <c r="I14" i="5"/>
  <c r="K14" i="5" s="1"/>
  <c r="L14" i="5" s="1"/>
  <c r="M14" i="5" s="1"/>
  <c r="K12" i="5"/>
  <c r="L12" i="5" s="1"/>
  <c r="M12" i="5" s="1"/>
  <c r="I8" i="5"/>
  <c r="K8" i="5" s="1"/>
  <c r="L8" i="5" s="1"/>
  <c r="M8" i="5" s="1"/>
  <c r="H21" i="3"/>
  <c r="J21" i="3" s="1"/>
  <c r="K21" i="3" s="1"/>
  <c r="L21" i="3" s="1"/>
  <c r="H16" i="3"/>
  <c r="J16" i="3" s="1"/>
  <c r="K16" i="3" s="1"/>
  <c r="L16" i="3" s="1"/>
  <c r="H12" i="3"/>
  <c r="J12" i="3" s="1"/>
  <c r="K12" i="3" s="1"/>
  <c r="L12" i="3" s="1"/>
  <c r="H20" i="3"/>
  <c r="J20" i="3" s="1"/>
  <c r="K20" i="3" s="1"/>
  <c r="L20" i="3" s="1"/>
  <c r="H22" i="3"/>
  <c r="J22" i="3" s="1"/>
  <c r="K22" i="3" s="1"/>
  <c r="L22" i="3" s="1"/>
  <c r="I7" i="4"/>
  <c r="K7" i="4" s="1"/>
  <c r="L7" i="4" s="1"/>
  <c r="M7" i="4" s="1"/>
  <c r="H25" i="3"/>
  <c r="J25" i="3" s="1"/>
  <c r="K25" i="3" s="1"/>
  <c r="L25" i="3" s="1"/>
  <c r="H23" i="3"/>
  <c r="J23" i="3" s="1"/>
  <c r="K23" i="3" s="1"/>
  <c r="L23" i="3" s="1"/>
  <c r="H18" i="3"/>
  <c r="J18" i="3" s="1"/>
  <c r="K18" i="3" s="1"/>
  <c r="L18" i="3" s="1"/>
  <c r="H14" i="2"/>
  <c r="J14" i="2" s="1"/>
  <c r="K14" i="2" s="1"/>
  <c r="L14" i="2" s="1"/>
  <c r="H22" i="2"/>
  <c r="J22" i="2" s="1"/>
  <c r="K22" i="2" s="1"/>
  <c r="L22" i="2" s="1"/>
  <c r="H25" i="2"/>
  <c r="K10" i="5"/>
  <c r="L10" i="5" s="1"/>
  <c r="M10" i="5" s="1"/>
  <c r="K6" i="5"/>
  <c r="L6" i="5" s="1"/>
  <c r="M6" i="5" s="1"/>
  <c r="K14" i="4"/>
  <c r="L14" i="4" s="1"/>
  <c r="M14" i="4" s="1"/>
  <c r="K10" i="4"/>
  <c r="L10" i="4" s="1"/>
  <c r="M10" i="4" s="1"/>
  <c r="K13" i="4"/>
  <c r="L13" i="4" s="1"/>
  <c r="M13" i="4" s="1"/>
  <c r="K12" i="4"/>
  <c r="L12" i="4" s="1"/>
  <c r="M12" i="4" s="1"/>
  <c r="K9" i="4"/>
  <c r="L9" i="4" s="1"/>
  <c r="M9" i="4" s="1"/>
  <c r="K11" i="4"/>
  <c r="L11" i="4" s="1"/>
  <c r="M11" i="4" s="1"/>
  <c r="K10" i="6"/>
  <c r="L10" i="6" s="1"/>
  <c r="K8" i="6"/>
  <c r="L8" i="6" s="1"/>
  <c r="K9" i="6"/>
  <c r="L9" i="6" s="1"/>
  <c r="K7" i="6"/>
  <c r="L7" i="6" s="1"/>
  <c r="K11" i="6"/>
  <c r="L11" i="6" s="1"/>
  <c r="H16" i="2"/>
  <c r="H17" i="2"/>
  <c r="H23" i="2"/>
  <c r="H19" i="2"/>
  <c r="H20" i="2"/>
  <c r="H21" i="2"/>
  <c r="H13" i="2"/>
  <c r="H24" i="2"/>
  <c r="H18" i="2"/>
  <c r="J25" i="2" l="1"/>
  <c r="K25" i="2" s="1"/>
  <c r="L25" i="2" s="1"/>
  <c r="J11" i="2"/>
  <c r="K11" i="2" s="1"/>
  <c r="L11" i="2" s="1"/>
  <c r="L6" i="4"/>
  <c r="M6" i="4" s="1"/>
  <c r="J8" i="2"/>
  <c r="K8" i="2" s="1"/>
  <c r="L8" i="2" s="1"/>
  <c r="J24" i="2"/>
  <c r="K24" i="2" s="1"/>
  <c r="L24" i="2" s="1"/>
  <c r="J9" i="2"/>
  <c r="K9" i="2" s="1"/>
  <c r="L9" i="2" s="1"/>
  <c r="J13" i="2"/>
  <c r="K13" i="2" s="1"/>
  <c r="L13" i="2" s="1"/>
  <c r="J16" i="2"/>
  <c r="K16" i="2" s="1"/>
  <c r="L16" i="2" s="1"/>
  <c r="J21" i="2"/>
  <c r="K21" i="2" s="1"/>
  <c r="L21" i="2" s="1"/>
  <c r="J20" i="2"/>
  <c r="K20" i="2" s="1"/>
  <c r="L20" i="2" s="1"/>
  <c r="K15" i="2"/>
  <c r="L15" i="2" s="1"/>
  <c r="J17" i="2"/>
  <c r="K17" i="2" s="1"/>
  <c r="L17" i="2" s="1"/>
  <c r="J19" i="2"/>
  <c r="K19" i="2" s="1"/>
  <c r="L19" i="2" s="1"/>
  <c r="J7" i="2"/>
  <c r="K7" i="2" s="1"/>
  <c r="L7" i="2" s="1"/>
  <c r="J18" i="2"/>
  <c r="K18" i="2" s="1"/>
  <c r="L18" i="2" s="1"/>
  <c r="J23" i="2"/>
  <c r="K23" i="2" l="1"/>
  <c r="L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Kovacs Dora</author>
    <author>kovacsd</author>
  </authors>
  <commentList>
    <comment ref="O5" authorId="0" shapeId="0" xr:uid="{C7448BA1-1DED-496E-9D8A-99DF52844EDF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O6" authorId="0" shapeId="0" xr:uid="{3BA1EAC4-0428-420A-90D8-2769A16C7B0A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O7" authorId="0" shapeId="0" xr:uid="{AB3DC6B3-2691-41BA-89D6-912EFD906662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O8" authorId="0" shapeId="0" xr:uid="{26E41142-E150-47FE-BF7D-DB098B34F4A3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P11" authorId="0" shapeId="0" xr:uid="{3A3B5DEF-08E5-4F63-94F2-2A32CB293295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2" authorId="0" shapeId="0" xr:uid="{93C5639C-79F1-4BFD-92B3-31AB4FA04097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3" authorId="0" shapeId="0" xr:uid="{328B661B-C43E-41DA-87CA-16BDE28FAA87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4" authorId="0" shapeId="0" xr:uid="{44DF97A6-7022-427B-8297-E4376B9221C1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O16" authorId="0" shapeId="0" xr:uid="{62857B5A-D6D3-4128-838D-4990ED260B63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9" authorId="0" shapeId="0" xr:uid="{1B523E1D-7E7D-42AF-BF57-B576359A1F86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1" authorId="1" shapeId="0" xr:uid="{2F0AE4B0-93C4-4CF9-90D9-AFDB8A82BB2B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3" authorId="0" shapeId="0" xr:uid="{52FD29D0-75F2-4CC6-A259-4E21DB54E929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4" authorId="0" shapeId="0" xr:uid="{CEC46F6E-EB2F-4582-A2BB-54139128FD03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5" authorId="0" shapeId="0" xr:uid="{84B555E3-4067-47EF-91A4-2D878B12B813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6" authorId="0" shapeId="0" xr:uid="{858183CD-AF5B-46FB-B851-86003462DA90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7" authorId="0" shapeId="0" xr:uid="{0A7973E0-B3E7-4ED7-9EFA-CF6611A58B44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Kovacs Dora</author>
    <author>kovacsd</author>
  </authors>
  <commentList>
    <comment ref="O5" authorId="0" shapeId="0" xr:uid="{C8D30D85-20C4-4C33-989A-EBC960D97C2B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O6" authorId="0" shapeId="0" xr:uid="{81EA0D03-854A-4B4D-BE62-9830BD973E40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O7" authorId="0" shapeId="0" xr:uid="{EC6AE237-E2DE-4199-9582-80DEC9B48F28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O8" authorId="0" shapeId="0" xr:uid="{EE770890-452B-443C-96EA-196346F06536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P11" authorId="0" shapeId="0" xr:uid="{904A3D32-161D-41B2-A4FE-5FE8860ED808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2" authorId="0" shapeId="0" xr:uid="{7A2300D3-68CD-41E6-90C0-CBCA665B40E2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3" authorId="0" shapeId="0" xr:uid="{D3D1E512-1513-4547-B15A-DD21CA6CCDCA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4" authorId="0" shapeId="0" xr:uid="{B3C8F837-525A-4CAF-B02A-BB733AB4EC84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O16" authorId="0" shapeId="0" xr:uid="{27D8A754-FF45-42A5-8D07-2F2B6BFA7227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9" authorId="0" shapeId="0" xr:uid="{B483D781-526B-4129-BD5D-6FCE4D197DAE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9" authorId="0" shapeId="0" xr:uid="{99D7387C-F2B1-4258-B852-F21A67DD22E9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1" authorId="1" shapeId="0" xr:uid="{CF6BCB30-5ED4-4847-B1D2-F81FF8BBF5DF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3" authorId="0" shapeId="0" xr:uid="{78FDC5C1-25A3-49CF-8C15-B60CEBAE0348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4" authorId="0" shapeId="0" xr:uid="{385C9EDD-AF6F-470A-B019-6392EBCDA42D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5" authorId="0" shapeId="0" xr:uid="{3D730607-DBDC-4297-93BE-6C46F4CA93DB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6" authorId="0" shapeId="0" xr:uid="{18CFCF19-4209-4FC4-9C06-9FAB9EC24EF2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Kovacs Dora</author>
    <author>kovacsd</author>
  </authors>
  <commentList>
    <comment ref="O5" authorId="0" shapeId="0" xr:uid="{83BE3CDB-2C9F-4313-84F1-4DB70E58585D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O6" authorId="0" shapeId="0" xr:uid="{CE1DC080-01C4-4601-93C2-79EA34756CDF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O7" authorId="0" shapeId="0" xr:uid="{34E761E2-ADCA-44E6-9E19-3E3A281C0805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O8" authorId="0" shapeId="0" xr:uid="{0C38167A-7FCF-42D7-B68F-2D775267159E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P11" authorId="0" shapeId="0" xr:uid="{C30758C6-AE55-4E5E-B2F9-CA6FC0365CAB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2" authorId="0" shapeId="0" xr:uid="{5DC83A1B-AA1F-42A3-84D3-DA722427D296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3" authorId="0" shapeId="0" xr:uid="{7CDD4E5C-09DF-4D85-B63D-0C673F17F533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4" authorId="0" shapeId="0" xr:uid="{E935890F-6409-4EC1-8A98-CA513DA72A3D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O16" authorId="0" shapeId="0" xr:uid="{478721CE-C58D-4311-ABE8-456A985CD4C8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9" authorId="0" shapeId="0" xr:uid="{0607A3E2-FA14-4B09-ABD8-449BD8CE7CFA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1" authorId="1" shapeId="0" xr:uid="{C29D4E91-D6D0-4C18-B73D-3590F4315EDF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3" authorId="0" shapeId="0" xr:uid="{98976601-7096-4E1C-AA0F-5A9262BF37B6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4" authorId="0" shapeId="0" xr:uid="{04BB4B1E-1975-45A2-8084-9468D4EEC9B1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5" authorId="0" shapeId="0" xr:uid="{27663B77-AD3C-4152-886E-39CB0F99F847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26" authorId="0" shapeId="0" xr:uid="{BBCEFE7B-AA46-444E-9A63-FCD807A86245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8" authorId="0" shapeId="0" xr:uid="{80D2F064-AEA2-47F4-99C7-6930A9D43304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Kovacs Dora</author>
    <author>kovacsd</author>
  </authors>
  <commentList>
    <comment ref="P5" authorId="0" shapeId="0" xr:uid="{A10E853B-1F2A-44F2-B9CB-0CFFA99E631F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P6" authorId="0" shapeId="0" xr:uid="{F508EEFA-5FEB-44C4-ABB9-40859081A3E1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P7" authorId="0" shapeId="0" xr:uid="{F32B5C84-4045-4B7C-B5EC-B04A8B85D892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P8" authorId="0" shapeId="0" xr:uid="{9981AFED-550A-4C59-8264-0DD1ED63F250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Q11" authorId="0" shapeId="0" xr:uid="{50920FD0-C1AD-448A-BCDD-33FE0BBCD1C9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12" authorId="0" shapeId="0" xr:uid="{36D119CA-B0DD-40DD-A23F-BB8EE454BDD6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13" authorId="0" shapeId="0" xr:uid="{D35E7456-2449-47CB-93C0-E2643D907542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14" authorId="0" shapeId="0" xr:uid="{2E962A85-2E7F-4650-9D8E-8F8FA8056D69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6" authorId="0" shapeId="0" xr:uid="{DD3B913E-7332-468D-A070-9DD9503C8EB8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7" authorId="0" shapeId="0" xr:uid="{4F8345BA-2EBA-48BF-A332-6DD3DC076B6C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19" authorId="0" shapeId="0" xr:uid="{D2127761-8671-44E1-81C9-48C5F42B7048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1" authorId="1" shapeId="0" xr:uid="{4E3C436C-47CA-4784-B06A-7279495715AD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3" authorId="0" shapeId="0" xr:uid="{582F6D8A-7BDA-46B7-9A29-316B5409D89F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4" authorId="0" shapeId="0" xr:uid="{B6B913E1-7199-4B3A-9CD3-37FA89FA1A02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5" authorId="0" shapeId="0" xr:uid="{532365BD-2749-4D2C-856C-CA8632A76471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6" authorId="0" shapeId="0" xr:uid="{B2C767E9-BEDF-4F02-81E2-AFD06B4DC085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Kovacs Dora</author>
    <author>kovacsd</author>
  </authors>
  <commentList>
    <comment ref="P5" authorId="0" shapeId="0" xr:uid="{BEE712DB-0CE8-497A-9D36-B882B04525CE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P6" authorId="0" shapeId="0" xr:uid="{24C24099-E9B3-4A83-B102-44E512E24394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P7" authorId="0" shapeId="0" xr:uid="{7D68420C-FDE8-4DB8-87BA-FA233A556C38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P8" authorId="0" shapeId="0" xr:uid="{662899C9-7453-44EC-8BA3-8F4BAE94EAF3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Q11" authorId="0" shapeId="0" xr:uid="{83B09828-7D95-45D1-8D8D-7EF135B8151C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12" authorId="0" shapeId="0" xr:uid="{D7EA2510-7EA4-4BE5-85DA-4B3F063C1E58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13" authorId="0" shapeId="0" xr:uid="{9A4C2677-5782-45B4-A653-5CA6283ED894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14" authorId="0" shapeId="0" xr:uid="{8C766B15-32CC-4DCF-A3DC-8C40299E1434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P16" authorId="0" shapeId="0" xr:uid="{1344EB99-358C-4EA4-A2E2-088ED277A6BD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7" authorId="0" shapeId="0" xr:uid="{179ABA97-D3A6-4E94-ADF0-125B1CD84497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19" authorId="0" shapeId="0" xr:uid="{6F0251E4-942B-4141-AB03-DEB5D499868C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1" authorId="1" shapeId="0" xr:uid="{4A3C293A-14A8-4312-970D-12D8BE58C22E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3" authorId="0" shapeId="0" xr:uid="{E0AEEA4D-4DE2-4CD2-A42E-94904FE5775A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4" authorId="0" shapeId="0" xr:uid="{F88367D4-AD03-486D-8D2E-7C2759DE4C0C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5" authorId="0" shapeId="0" xr:uid="{F032F2EE-0B68-4AE0-992D-30D8D7953C72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Q26" authorId="0" shapeId="0" xr:uid="{17E962BA-AFF5-4655-A5CF-B8E6C4E2AACB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Kovacs Dora</author>
    <author>kovacsd</author>
  </authors>
  <commentList>
    <comment ref="H3" authorId="0" shapeId="0" xr:uid="{6B429B43-CC29-41C2-A557-71112E171F9A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H4" authorId="0" shapeId="0" xr:uid="{47E4B01A-5366-4D0A-ACB3-81E1E1442A3A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H5" authorId="0" shapeId="0" xr:uid="{AFE12DCF-8925-436F-AC2C-BDCC13CC352E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H6" authorId="0" shapeId="0" xr:uid="{71C218B5-3930-43BE-AF89-8884E8AB9E79}">
      <text>
        <r>
          <rPr>
            <sz val="9"/>
            <color indexed="81"/>
            <rFont val="Tahoma"/>
            <family val="2"/>
            <charset val="238"/>
          </rPr>
          <t>átírható adat</t>
        </r>
      </text>
    </comment>
    <comment ref="I9" authorId="0" shapeId="0" xr:uid="{46119BAF-6108-4B4A-BF41-F4934EC40AB4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I10" authorId="0" shapeId="0" xr:uid="{EDA300F7-B00C-4240-A720-371E89C4F3B6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I11" authorId="0" shapeId="0" xr:uid="{0FCB54C9-1425-4437-9D22-CEBC6E40611A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H14" authorId="0" shapeId="0" xr:uid="{D4E40613-AC9C-44B2-9D77-3B4A850D0667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7" authorId="0" shapeId="0" xr:uid="{BE1B8599-9128-4B1B-B6B0-0BC94C3392DE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I19" authorId="1" shapeId="0" xr:uid="{B1EEC7CD-ED49-44D0-81D9-A438C4716A50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I21" authorId="0" shapeId="0" xr:uid="{56361A90-011C-4B2F-B710-3C6872B4D593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I22" authorId="0" shapeId="0" xr:uid="{E84E336E-7EFA-4424-AAEC-4A980EC338E1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I23" authorId="0" shapeId="0" xr:uid="{83CCC971-CED1-41BE-A7E6-6613D05A815E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</text>
    </comment>
    <comment ref="I24" authorId="0" shapeId="0" xr:uid="{61FE853D-CD32-46B3-B5CC-D5A08745B3A0}">
      <text>
        <r>
          <rPr>
            <b/>
            <sz val="9"/>
            <color indexed="81"/>
            <rFont val="Tahoma"/>
            <family val="2"/>
            <charset val="238"/>
          </rPr>
          <t>átírható adat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<sst xmlns="http://schemas.openxmlformats.org/spreadsheetml/2006/main" count="301" uniqueCount="78">
  <si>
    <t>Postai küldemény
adatai</t>
  </si>
  <si>
    <t>Hagyományos postai feladás</t>
  </si>
  <si>
    <t>Hibridlevél</t>
  </si>
  <si>
    <t>Becsült alapanyag árak</t>
  </si>
  <si>
    <t>Oldalszám</t>
  </si>
  <si>
    <t>Súly
(g)</t>
  </si>
  <si>
    <t>Postai díj
(Ft)</t>
  </si>
  <si>
    <t>Alapanyag
(Ft)</t>
  </si>
  <si>
    <t>Nyomtatás
(fekete) (Ft)</t>
  </si>
  <si>
    <t>Munkabér 
(Ft)</t>
  </si>
  <si>
    <t>Egyéb rezsi-költség (Ft)</t>
  </si>
  <si>
    <t>Összesen 
(Ft)</t>
  </si>
  <si>
    <t>Összesen
(Ft)</t>
  </si>
  <si>
    <t>1 db esetében</t>
  </si>
  <si>
    <t>Havi szinten</t>
  </si>
  <si>
    <t>Éves szinten</t>
  </si>
  <si>
    <t>A4 lap</t>
  </si>
  <si>
    <t>Ft</t>
  </si>
  <si>
    <t>Boríték (C6/C5)</t>
  </si>
  <si>
    <t>Nyomtatás (fekete)</t>
  </si>
  <si>
    <t>Ft/oldal</t>
  </si>
  <si>
    <t>Boríték (LC4)</t>
  </si>
  <si>
    <t>Minimum munkaidő-ráfordítás (perc) *</t>
  </si>
  <si>
    <t>Nyomtatás</t>
  </si>
  <si>
    <t>Borítékolás</t>
  </si>
  <si>
    <t>Címzés</t>
  </si>
  <si>
    <t>Postai sorban állás (/levél)</t>
  </si>
  <si>
    <t>Mindösszesen:</t>
  </si>
  <si>
    <t>Átlagkereset**</t>
  </si>
  <si>
    <r>
      <t xml:space="preserve">Egyéb </t>
    </r>
    <r>
      <rPr>
        <b/>
        <sz val="10"/>
        <color rgb="FFFF0000"/>
        <rFont val="Open Sans"/>
        <family val="2"/>
        <charset val="238"/>
      </rPr>
      <t>HAVI</t>
    </r>
    <r>
      <rPr>
        <b/>
        <sz val="10"/>
        <color theme="1"/>
        <rFont val="Open Sans"/>
        <family val="2"/>
        <charset val="238"/>
      </rPr>
      <t xml:space="preserve"> rezsiköltség (Ft)</t>
    </r>
  </si>
  <si>
    <t>Nyomtatógép költségei
 (klikkdíj, karbantartási költségek)</t>
  </si>
  <si>
    <t>Borítékológép költségei
 (klikkdíj, karbantartási kltsg)</t>
  </si>
  <si>
    <t>Postaszolgáltató díja</t>
  </si>
  <si>
    <t>Postára járás üzemanyag kltsg.</t>
  </si>
  <si>
    <t>Áramköltség</t>
  </si>
  <si>
    <t>Egyéb felmerülő költség</t>
  </si>
  <si>
    <t>A szürke cellák tartalma a saját cégadatokra változtatható.</t>
  </si>
  <si>
    <t>Havonta kiküldött mennyiség (db):</t>
  </si>
  <si>
    <r>
      <t xml:space="preserve">A feltüntetett árak </t>
    </r>
    <r>
      <rPr>
        <b/>
        <u/>
        <sz val="10"/>
        <color rgb="FFFF0000"/>
        <rFont val="Open Sans"/>
        <family val="2"/>
        <charset val="238"/>
      </rPr>
      <t>nettó</t>
    </r>
    <r>
      <rPr>
        <b/>
        <sz val="10"/>
        <color rgb="FFFF0000"/>
        <rFont val="Open Sans"/>
        <family val="2"/>
        <charset val="238"/>
      </rPr>
      <t xml:space="preserve"> </t>
    </r>
    <r>
      <rPr>
        <sz val="10"/>
        <color rgb="FFFF0000"/>
        <rFont val="Open Sans"/>
        <family val="2"/>
        <charset val="238"/>
      </rPr>
      <t>árak.</t>
    </r>
  </si>
  <si>
    <t>Az egyetemes postai szolgáltatás ÁFA-mentes, így azt a postán nem kell kifizetni.</t>
  </si>
  <si>
    <r>
      <t>A Hibridlevél Kft. a számlát</t>
    </r>
    <r>
      <rPr>
        <b/>
        <u/>
        <sz val="10"/>
        <color theme="1"/>
        <rFont val="Open Sans"/>
        <family val="2"/>
        <charset val="238"/>
      </rPr>
      <t xml:space="preserve"> 27%-os ÁFA</t>
    </r>
    <r>
      <rPr>
        <sz val="10"/>
        <color theme="1"/>
        <rFont val="Open Sans"/>
        <family val="2"/>
        <charset val="238"/>
      </rPr>
      <t xml:space="preserve"> tartalommal állítja ki, amely vállalkozások esetében</t>
    </r>
    <r>
      <rPr>
        <b/>
        <u/>
        <sz val="10"/>
        <color theme="1"/>
        <rFont val="Open Sans"/>
        <family val="2"/>
        <charset val="238"/>
      </rPr>
      <t xml:space="preserve"> teljes mértékben visszaigényelhető.</t>
    </r>
  </si>
  <si>
    <t>A Hibridlevél árazása intergráltan tartalmaz minden költséget.</t>
  </si>
  <si>
    <t>Alapanyag az A4-es lapot és az oldalszámnak megfelelő borítékot jelenti.</t>
  </si>
  <si>
    <t>Nyomtatás esetén fekete-fehér nyomtatást értünk.</t>
  </si>
  <si>
    <t>Postai 
küldemény</t>
  </si>
  <si>
    <t>Nyomtatás
(színes) (Ft)</t>
  </si>
  <si>
    <t>Boríték</t>
  </si>
  <si>
    <t>Nyomtatás (színes)</t>
  </si>
  <si>
    <t>Postai küldemény</t>
  </si>
  <si>
    <t>Elsőbbségi postai díj (Ft)</t>
  </si>
  <si>
    <t>Ajánlott küld. 
felára (Ft)</t>
  </si>
  <si>
    <t>Ajánl. + Tértiv. 
felár (Ft)</t>
  </si>
  <si>
    <t>Hibridlevél nettó árak</t>
  </si>
  <si>
    <t>2024.07.01-től</t>
  </si>
  <si>
    <t>Szolgáltatás</t>
  </si>
  <si>
    <t>Magyarország</t>
  </si>
  <si>
    <t>Európa</t>
  </si>
  <si>
    <t>Postai szolgáltatások</t>
  </si>
  <si>
    <r>
      <t xml:space="preserve">Egyoldalas küldemény postai díjakkal együtt </t>
    </r>
    <r>
      <rPr>
        <i/>
        <sz val="12"/>
        <color theme="1" tint="0.34998626667073579"/>
        <rFont val="Calibri"/>
        <family val="2"/>
        <charset val="238"/>
      </rPr>
      <t>(Tartalmazza a boríték, levélpapír, az első lap egyoldali fekete nyomtatás, a borítékolás és postára adás díjait)</t>
    </r>
  </si>
  <si>
    <r>
      <t xml:space="preserve">További oldalak felára oldalanként </t>
    </r>
    <r>
      <rPr>
        <i/>
        <sz val="12"/>
        <color theme="1" tint="0.249977111117893"/>
        <rFont val="Calibri"/>
        <family val="2"/>
        <charset val="238"/>
      </rPr>
      <t>(alapanyag, nyomtatás és postai díjnövekmény)</t>
    </r>
  </si>
  <si>
    <t>Színes nyomtatás felára oldalanként</t>
  </si>
  <si>
    <r>
      <t xml:space="preserve">C4-es boríték felár </t>
    </r>
    <r>
      <rPr>
        <sz val="12"/>
        <color theme="1" tint="0.14999847407452621"/>
        <rFont val="Calibri"/>
        <family val="2"/>
        <charset val="238"/>
      </rPr>
      <t>(álló boríték)</t>
    </r>
  </si>
  <si>
    <t>Minimum munkaidő-ráfordítás (perc)</t>
  </si>
  <si>
    <t>Elsőbbségi küldemény felára</t>
  </si>
  <si>
    <t>Ajánlott küldemény felára</t>
  </si>
  <si>
    <t>Ajánlott levél tértivevénnyel küldemény felára (nyomtatás, borítékra helyezés, postai díj)</t>
  </si>
  <si>
    <t>Postai sorbanállás/levél</t>
  </si>
  <si>
    <t>Postai árak</t>
  </si>
  <si>
    <t>Nomál küldemény 50 gr-ig</t>
  </si>
  <si>
    <t>Nomál küldemény 500 gr-ig</t>
  </si>
  <si>
    <t>Elsőbbségi küldemény 50 gr-ig</t>
  </si>
  <si>
    <t>Elsőbbségi küldemény  500 gr-ig</t>
  </si>
  <si>
    <t>Ajánlott küldemény felár</t>
  </si>
  <si>
    <t>Tértivevény felár</t>
  </si>
  <si>
    <t>Becsült megtakarítás (Ft) - 2025.01.01-től</t>
  </si>
  <si>
    <t>**Az átlagkereset forrása: https://www.ksh.hu/stadat_files/mun/hu/mun0208.html  (FEOR'08: 4111 - Tikár(nő))</t>
  </si>
  <si>
    <t xml:space="preserve">*A postázásra fordított munkaidőt, illetve az átlagbért a 2023-ban megállapított Titkár(nő) átlagkeresete alapján, havi átlag 21 munkanap és napi 8 óra alapján számítottuk. </t>
  </si>
  <si>
    <t>C5/C6 boríték esetén maximum 8 oldal küldhető. 8 oldalt meghaladó küldemények C4-es borítékba kerülnek.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</si>
</sst>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Ft&quot;_-;\-* #,##0.00\ &quot;Ft&quot;_-;_-* &quot;-&quot;??\ &quot;Ft&quot;_-;_-@_-"/>
    <numFmt numFmtId="164" formatCode="#,##0.00\ [$HUF];[Red]\-#,##0.00\ [$HUF]"/>
    <numFmt numFmtId="165" formatCode="_-* #,##0\ &quot;Ft&quot;_-;\-* #,##0\ &quot;Ft&quot;_-;_-* &quot;-&quot;??\ &quot;Ft&quot;_-;_-@_-"/>
    <numFmt numFmtId="166" formatCode="0.0"/>
    <numFmt numFmtId="167" formatCode="#,##0.00\ [$HUF]"/>
    <numFmt numFmtId="168" formatCode="_-* #,##0.00\ [$Ft-40E]_-;\-* #,##0.00\ [$Ft-40E]_-;_-* &quot;-&quot;??\ [$Ft-40E]_-;_-@_-"/>
    <numFmt numFmtId="169" formatCode="#,##0.0\ [$HUF]"/>
    <numFmt numFmtId="170" formatCode="#,##0\ [$HUF];[Red]\-#,##0\ [$HUF]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10"/>
      <color rgb="FFFF0000"/>
      <name val="Open Sans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/>
      <name val="Open Sans"/>
      <family val="2"/>
      <charset val="238"/>
    </font>
    <font>
      <sz val="10"/>
      <color theme="0"/>
      <name val="Open Sans"/>
      <family val="2"/>
      <charset val="238"/>
    </font>
    <font>
      <b/>
      <sz val="10"/>
      <name val="Open Sans"/>
      <family val="2"/>
      <charset val="238"/>
    </font>
    <font>
      <sz val="10"/>
      <color rgb="FFFF0000"/>
      <name val="Open Sans"/>
      <family val="2"/>
      <charset val="238"/>
    </font>
    <font>
      <b/>
      <u/>
      <sz val="10"/>
      <color rgb="FFFF0000"/>
      <name val="Open Sans"/>
      <family val="2"/>
      <charset val="238"/>
    </font>
    <font>
      <b/>
      <u/>
      <sz val="10"/>
      <color theme="1"/>
      <name val="Open Sans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404040"/>
      <name val="Calibri"/>
      <family val="2"/>
      <charset val="238"/>
    </font>
    <font>
      <b/>
      <sz val="12"/>
      <color rgb="FFFFFFFF"/>
      <name val="Calibri"/>
      <family val="2"/>
      <charset val="238"/>
    </font>
    <font>
      <sz val="12"/>
      <color theme="1" tint="0.34998626667073579"/>
      <name val="Calibri"/>
      <family val="2"/>
      <charset val="238"/>
    </font>
    <font>
      <i/>
      <sz val="12"/>
      <color theme="1" tint="0.34998626667073579"/>
      <name val="Calibri"/>
      <family val="2"/>
      <charset val="238"/>
    </font>
    <font>
      <sz val="12"/>
      <color theme="1" tint="0.249977111117893"/>
      <name val="Calibri"/>
      <family val="2"/>
      <charset val="238"/>
    </font>
    <font>
      <i/>
      <sz val="12"/>
      <color theme="1" tint="0.249977111117893"/>
      <name val="Calibri"/>
      <family val="2"/>
      <charset val="238"/>
    </font>
    <font>
      <sz val="12"/>
      <color theme="1" tint="0.1499984740745262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4"/>
      <color rgb="FF40404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Open Sans"/>
      <family val="2"/>
      <charset val="238"/>
    </font>
    <font>
      <sz val="14"/>
      <color rgb="FF404040"/>
      <name val="Calibri"/>
      <family val="2"/>
      <charset val="238"/>
    </font>
    <font>
      <b/>
      <sz val="14"/>
      <color rgb="FFFFFFFF"/>
      <name val="Calibri"/>
      <family val="2"/>
      <charset val="238"/>
    </font>
    <font>
      <b/>
      <sz val="14"/>
      <color theme="1"/>
      <name val="Open Sans"/>
      <family val="2"/>
      <charset val="238"/>
    </font>
    <font>
      <sz val="10"/>
      <color theme="1"/>
      <name val="Open Sans"/>
      <family val="2"/>
      <charset val="238"/>
    </font>
    <font>
      <sz val="11"/>
      <color theme="1"/>
      <name val="Open Sans"/>
      <family val="2"/>
      <charset val="238"/>
    </font>
    <font>
      <b/>
      <sz val="16"/>
      <color rgb="FF40404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rgb="FF95C12B"/>
      </patternFill>
    </fill>
    <fill>
      <patternFill patternType="solid">
        <fgColor rgb="FFFFFF00"/>
        <bgColor rgb="FF95C12B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92D050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3" borderId="0" xfId="0" applyFill="1"/>
    <xf numFmtId="0" fontId="2" fillId="4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2" fillId="5" borderId="8" xfId="0" applyFont="1" applyFill="1" applyBorder="1"/>
    <xf numFmtId="0" fontId="2" fillId="0" borderId="11" xfId="0" applyFont="1" applyBorder="1"/>
    <xf numFmtId="0" fontId="2" fillId="4" borderId="12" xfId="0" applyFont="1" applyFill="1" applyBorder="1" applyAlignment="1">
      <alignment horizontal="center" vertical="center"/>
    </xf>
    <xf numFmtId="0" fontId="2" fillId="5" borderId="13" xfId="0" applyFont="1" applyFill="1" applyBorder="1"/>
    <xf numFmtId="0" fontId="2" fillId="0" borderId="0" xfId="0" applyFont="1"/>
    <xf numFmtId="0" fontId="2" fillId="4" borderId="8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4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44" fontId="6" fillId="6" borderId="1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66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/>
    <xf numFmtId="166" fontId="2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9" fillId="0" borderId="0" xfId="0" applyFont="1"/>
    <xf numFmtId="0" fontId="7" fillId="6" borderId="49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166" fontId="2" fillId="0" borderId="25" xfId="0" applyNumberFormat="1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0" fontId="12" fillId="0" borderId="0" xfId="0" applyFont="1"/>
    <xf numFmtId="0" fontId="7" fillId="6" borderId="52" xfId="0" applyFont="1" applyFill="1" applyBorder="1" applyAlignment="1">
      <alignment horizontal="center" vertical="center" wrapText="1"/>
    </xf>
    <xf numFmtId="165" fontId="6" fillId="6" borderId="15" xfId="0" applyNumberFormat="1" applyFont="1" applyFill="1" applyBorder="1" applyAlignment="1">
      <alignment horizontal="center" vertical="center" wrapText="1"/>
    </xf>
    <xf numFmtId="165" fontId="6" fillId="6" borderId="1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13" fillId="0" borderId="0" xfId="0" applyFont="1"/>
    <xf numFmtId="0" fontId="15" fillId="3" borderId="9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164" fontId="16" fillId="3" borderId="10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164" fontId="21" fillId="3" borderId="1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164" fontId="13" fillId="0" borderId="0" xfId="0" applyNumberFormat="1" applyFont="1"/>
    <xf numFmtId="0" fontId="22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23" fillId="0" borderId="0" xfId="0" applyFont="1"/>
    <xf numFmtId="0" fontId="24" fillId="0" borderId="6" xfId="0" applyFont="1" applyBorder="1" applyAlignment="1">
      <alignment horizontal="left"/>
    </xf>
    <xf numFmtId="0" fontId="24" fillId="0" borderId="8" xfId="0" applyFont="1" applyBorder="1"/>
    <xf numFmtId="0" fontId="25" fillId="3" borderId="2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7" fillId="6" borderId="5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4" fontId="28" fillId="0" borderId="0" xfId="0" applyNumberFormat="1" applyFont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4" fontId="29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4" borderId="27" xfId="0" applyFont="1" applyFill="1" applyBorder="1" applyAlignment="1">
      <alignment horizontal="center"/>
    </xf>
    <xf numFmtId="164" fontId="16" fillId="3" borderId="56" xfId="0" applyNumberFormat="1" applyFont="1" applyFill="1" applyBorder="1" applyAlignment="1">
      <alignment horizontal="center" vertical="center"/>
    </xf>
    <xf numFmtId="164" fontId="16" fillId="5" borderId="0" xfId="0" applyNumberFormat="1" applyFont="1" applyFill="1" applyAlignment="1">
      <alignment horizontal="center" vertical="center"/>
    </xf>
    <xf numFmtId="164" fontId="16" fillId="3" borderId="0" xfId="0" applyNumberFormat="1" applyFont="1" applyFill="1" applyAlignment="1">
      <alignment horizontal="center" vertical="center"/>
    </xf>
    <xf numFmtId="0" fontId="30" fillId="2" borderId="9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2" fillId="0" borderId="39" xfId="0" applyFont="1" applyBorder="1" applyAlignment="1">
      <alignment horizontal="center"/>
    </xf>
    <xf numFmtId="0" fontId="7" fillId="6" borderId="44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44" fontId="6" fillId="6" borderId="14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4" borderId="1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67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6" borderId="48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44" fontId="6" fillId="6" borderId="48" xfId="0" applyNumberFormat="1" applyFont="1" applyFill="1" applyBorder="1" applyAlignment="1">
      <alignment horizontal="center" vertical="center" wrapText="1"/>
    </xf>
    <xf numFmtId="165" fontId="6" fillId="6" borderId="50" xfId="0" applyNumberFormat="1" applyFont="1" applyFill="1" applyBorder="1" applyAlignment="1">
      <alignment horizontal="center" vertical="center" wrapText="1"/>
    </xf>
    <xf numFmtId="165" fontId="6" fillId="6" borderId="53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169" fontId="8" fillId="8" borderId="42" xfId="0" applyNumberFormat="1" applyFont="1" applyFill="1" applyBorder="1" applyAlignment="1">
      <alignment horizontal="center" vertical="center"/>
    </xf>
    <xf numFmtId="169" fontId="8" fillId="7" borderId="42" xfId="0" applyNumberFormat="1" applyFont="1" applyFill="1" applyBorder="1" applyAlignment="1">
      <alignment horizontal="center" vertical="center"/>
    </xf>
    <xf numFmtId="169" fontId="8" fillId="7" borderId="25" xfId="0" applyNumberFormat="1" applyFont="1" applyFill="1" applyBorder="1" applyAlignment="1">
      <alignment horizontal="center" vertical="center"/>
    </xf>
    <xf numFmtId="169" fontId="8" fillId="8" borderId="7" xfId="0" applyNumberFormat="1" applyFont="1" applyFill="1" applyBorder="1" applyAlignment="1">
      <alignment horizontal="center" vertical="center"/>
    </xf>
    <xf numFmtId="169" fontId="8" fillId="7" borderId="7" xfId="0" applyNumberFormat="1" applyFont="1" applyFill="1" applyBorder="1" applyAlignment="1">
      <alignment horizontal="center" vertical="center"/>
    </xf>
    <xf numFmtId="169" fontId="8" fillId="7" borderId="8" xfId="0" applyNumberFormat="1" applyFont="1" applyFill="1" applyBorder="1" applyAlignment="1">
      <alignment horizontal="center" vertical="center"/>
    </xf>
    <xf numFmtId="169" fontId="8" fillId="7" borderId="12" xfId="0" applyNumberFormat="1" applyFont="1" applyFill="1" applyBorder="1" applyAlignment="1">
      <alignment horizontal="center" vertical="center"/>
    </xf>
    <xf numFmtId="169" fontId="8" fillId="7" borderId="13" xfId="0" applyNumberFormat="1" applyFont="1" applyFill="1" applyBorder="1" applyAlignment="1">
      <alignment horizontal="center" vertical="center"/>
    </xf>
    <xf numFmtId="169" fontId="8" fillId="3" borderId="26" xfId="0" applyNumberFormat="1" applyFont="1" applyFill="1" applyBorder="1" applyAlignment="1">
      <alignment horizontal="center" vertical="center"/>
    </xf>
    <xf numFmtId="169" fontId="8" fillId="3" borderId="27" xfId="0" applyNumberFormat="1" applyFont="1" applyFill="1" applyBorder="1" applyAlignment="1">
      <alignment horizontal="center" vertical="center"/>
    </xf>
    <xf numFmtId="169" fontId="8" fillId="3" borderId="37" xfId="0" applyNumberFormat="1" applyFont="1" applyFill="1" applyBorder="1" applyAlignment="1">
      <alignment horizontal="center" vertical="center"/>
    </xf>
    <xf numFmtId="169" fontId="8" fillId="3" borderId="47" xfId="0" applyNumberFormat="1" applyFont="1" applyFill="1" applyBorder="1" applyAlignment="1">
      <alignment horizontal="center" vertical="center"/>
    </xf>
    <xf numFmtId="169" fontId="8" fillId="3" borderId="42" xfId="0" applyNumberFormat="1" applyFont="1" applyFill="1" applyBorder="1" applyAlignment="1">
      <alignment horizontal="center" vertical="center"/>
    </xf>
    <xf numFmtId="169" fontId="8" fillId="3" borderId="25" xfId="0" applyNumberFormat="1" applyFont="1" applyFill="1" applyBorder="1" applyAlignment="1">
      <alignment horizontal="center" vertical="center"/>
    </xf>
    <xf numFmtId="169" fontId="8" fillId="3" borderId="45" xfId="0" applyNumberFormat="1" applyFont="1" applyFill="1" applyBorder="1" applyAlignment="1">
      <alignment horizontal="center" vertical="center"/>
    </xf>
    <xf numFmtId="169" fontId="8" fillId="3" borderId="7" xfId="0" applyNumberFormat="1" applyFont="1" applyFill="1" applyBorder="1" applyAlignment="1">
      <alignment horizontal="center" vertical="center"/>
    </xf>
    <xf numFmtId="169" fontId="8" fillId="3" borderId="8" xfId="0" applyNumberFormat="1" applyFont="1" applyFill="1" applyBorder="1" applyAlignment="1">
      <alignment horizontal="center" vertical="center"/>
    </xf>
    <xf numFmtId="169" fontId="8" fillId="3" borderId="46" xfId="0" applyNumberFormat="1" applyFont="1" applyFill="1" applyBorder="1" applyAlignment="1">
      <alignment horizontal="center" vertical="center"/>
    </xf>
    <xf numFmtId="169" fontId="8" fillId="3" borderId="12" xfId="0" applyNumberFormat="1" applyFont="1" applyFill="1" applyBorder="1" applyAlignment="1">
      <alignment horizontal="center" vertical="center"/>
    </xf>
    <xf numFmtId="169" fontId="8" fillId="3" borderId="13" xfId="0" applyNumberFormat="1" applyFont="1" applyFill="1" applyBorder="1" applyAlignment="1">
      <alignment horizontal="center" vertical="center"/>
    </xf>
    <xf numFmtId="169" fontId="8" fillId="3" borderId="5" xfId="0" applyNumberFormat="1" applyFont="1" applyFill="1" applyBorder="1" applyAlignment="1">
      <alignment horizontal="center" vertical="center"/>
    </xf>
    <xf numFmtId="169" fontId="8" fillId="3" borderId="54" xfId="0" applyNumberFormat="1" applyFont="1" applyFill="1" applyBorder="1" applyAlignment="1">
      <alignment horizontal="center" vertical="center"/>
    </xf>
    <xf numFmtId="169" fontId="8" fillId="3" borderId="5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51" xfId="0" applyFont="1" applyBorder="1" applyAlignment="1">
      <alignment horizontal="center"/>
    </xf>
    <xf numFmtId="170" fontId="21" fillId="2" borderId="10" xfId="0" applyNumberFormat="1" applyFont="1" applyFill="1" applyBorder="1" applyAlignment="1">
      <alignment horizontal="center" vertical="center"/>
    </xf>
    <xf numFmtId="164" fontId="21" fillId="2" borderId="10" xfId="0" applyNumberFormat="1" applyFont="1" applyFill="1" applyBorder="1" applyAlignment="1">
      <alignment horizontal="center" vertical="center"/>
    </xf>
    <xf numFmtId="164" fontId="21" fillId="9" borderId="9" xfId="0" applyNumberFormat="1" applyFont="1" applyFill="1" applyBorder="1" applyAlignment="1">
      <alignment horizontal="center" vertical="center"/>
    </xf>
    <xf numFmtId="164" fontId="21" fillId="9" borderId="10" xfId="0" applyNumberFormat="1" applyFont="1" applyFill="1" applyBorder="1" applyAlignment="1">
      <alignment horizontal="center" vertical="center"/>
    </xf>
    <xf numFmtId="169" fontId="8" fillId="8" borderId="8" xfId="0" applyNumberFormat="1" applyFont="1" applyFill="1" applyBorder="1" applyAlignment="1">
      <alignment horizontal="center" vertical="center"/>
    </xf>
    <xf numFmtId="166" fontId="2" fillId="0" borderId="58" xfId="0" applyNumberFormat="1" applyFont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166" fontId="2" fillId="0" borderId="59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2" fillId="4" borderId="27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6" borderId="38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44" fontId="6" fillId="6" borderId="24" xfId="0" applyNumberFormat="1" applyFont="1" applyFill="1" applyBorder="1" applyAlignment="1">
      <alignment horizontal="center" vertical="center" wrapText="1"/>
    </xf>
    <xf numFmtId="44" fontId="6" fillId="6" borderId="42" xfId="0" applyNumberFormat="1" applyFont="1" applyFill="1" applyBorder="1" applyAlignment="1">
      <alignment horizontal="center" vertical="center" wrapText="1"/>
    </xf>
    <xf numFmtId="44" fontId="6" fillId="6" borderId="2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68" fontId="2" fillId="4" borderId="17" xfId="0" applyNumberFormat="1" applyFont="1" applyFill="1" applyBorder="1" applyAlignment="1">
      <alignment horizontal="center"/>
    </xf>
    <xf numFmtId="168" fontId="2" fillId="4" borderId="19" xfId="0" applyNumberFormat="1" applyFont="1" applyFill="1" applyBorder="1" applyAlignment="1">
      <alignment horizontal="center"/>
    </xf>
    <xf numFmtId="168" fontId="2" fillId="4" borderId="38" xfId="0" applyNumberFormat="1" applyFont="1" applyFill="1" applyBorder="1" applyAlignment="1">
      <alignment horizontal="center"/>
    </xf>
    <xf numFmtId="168" fontId="2" fillId="4" borderId="39" xfId="0" applyNumberFormat="1" applyFont="1" applyFill="1" applyBorder="1" applyAlignment="1">
      <alignment horizontal="center"/>
    </xf>
    <xf numFmtId="0" fontId="6" fillId="6" borderId="39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44" fontId="6" fillId="6" borderId="3" xfId="0" applyNumberFormat="1" applyFont="1" applyFill="1" applyBorder="1" applyAlignment="1">
      <alignment horizontal="center" vertical="center" wrapText="1"/>
    </xf>
    <xf numFmtId="44" fontId="6" fillId="6" borderId="4" xfId="0" applyNumberFormat="1" applyFont="1" applyFill="1" applyBorder="1" applyAlignment="1">
      <alignment horizontal="center" vertical="center" wrapText="1"/>
    </xf>
    <xf numFmtId="44" fontId="6" fillId="6" borderId="5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35" xfId="0" applyFont="1" applyBorder="1" applyAlignment="1">
      <alignment horizontal="left" wrapText="1"/>
    </xf>
    <xf numFmtId="0" fontId="2" fillId="0" borderId="46" xfId="0" applyFont="1" applyBorder="1" applyAlignment="1">
      <alignment horizontal="left" wrapText="1"/>
    </xf>
    <xf numFmtId="0" fontId="1" fillId="0" borderId="38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44" fontId="6" fillId="6" borderId="17" xfId="0" applyNumberFormat="1" applyFont="1" applyFill="1" applyBorder="1" applyAlignment="1">
      <alignment horizontal="center" vertical="center" wrapText="1"/>
    </xf>
    <xf numFmtId="44" fontId="6" fillId="6" borderId="18" xfId="0" applyNumberFormat="1" applyFont="1" applyFill="1" applyBorder="1" applyAlignment="1">
      <alignment horizontal="center" vertical="center" wrapText="1"/>
    </xf>
    <xf numFmtId="44" fontId="6" fillId="6" borderId="19" xfId="0" applyNumberFormat="1" applyFont="1" applyFill="1" applyBorder="1" applyAlignment="1">
      <alignment horizontal="center" vertical="center" wrapText="1"/>
    </xf>
    <xf numFmtId="165" fontId="6" fillId="6" borderId="24" xfId="0" applyNumberFormat="1" applyFont="1" applyFill="1" applyBorder="1" applyAlignment="1">
      <alignment horizontal="center" vertical="center" wrapText="1"/>
    </xf>
    <xf numFmtId="165" fontId="6" fillId="6" borderId="42" xfId="0" applyNumberFormat="1" applyFont="1" applyFill="1" applyBorder="1" applyAlignment="1">
      <alignment horizontal="center" vertical="center" wrapText="1"/>
    </xf>
    <xf numFmtId="165" fontId="6" fillId="6" borderId="25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92D050"/>
        </patternFill>
      </fill>
    </dxf>
    <dxf>
      <fill>
        <patternFill>
          <bgColor rgb="FF95C12B"/>
        </patternFill>
      </fill>
    </dxf>
    <dxf>
      <fill>
        <patternFill>
          <bgColor rgb="FFFF0000"/>
        </patternFill>
      </fill>
    </dxf>
    <dxf>
      <fill>
        <patternFill>
          <bgColor rgb="FF95C12B"/>
        </patternFill>
      </fill>
    </dxf>
    <dxf>
      <fill>
        <patternFill>
          <bgColor rgb="FF8FC12B"/>
        </patternFill>
      </fill>
    </dxf>
    <dxf>
      <fill>
        <patternFill>
          <bgColor rgb="FFFF0000"/>
        </patternFill>
      </fill>
    </dxf>
    <dxf>
      <fill>
        <patternFill>
          <bgColor rgb="FF95C12B"/>
        </patternFill>
      </fill>
    </dxf>
    <dxf>
      <fill>
        <patternFill>
          <bgColor rgb="FFFF0000"/>
        </patternFill>
      </fill>
    </dxf>
    <dxf>
      <fill>
        <patternFill>
          <bgColor rgb="FF95C12B"/>
        </patternFill>
      </fill>
    </dxf>
    <dxf>
      <fill>
        <patternFill>
          <bgColor rgb="FFFF0000"/>
        </patternFill>
      </fill>
    </dxf>
    <dxf>
      <fill>
        <patternFill>
          <bgColor rgb="FF95C12B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72601</xdr:rowOff>
    </xdr:from>
    <xdr:to>
      <xdr:col>4</xdr:col>
      <xdr:colOff>322581</xdr:colOff>
      <xdr:row>2</xdr:row>
      <xdr:rowOff>326920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06E9B03-33FD-4397-A949-3FFEE2BCF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2601"/>
          <a:ext cx="2768601" cy="660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31751</xdr:rowOff>
    </xdr:from>
    <xdr:to>
      <xdr:col>4</xdr:col>
      <xdr:colOff>238128</xdr:colOff>
      <xdr:row>2</xdr:row>
      <xdr:rowOff>238415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059C6EC-85A5-41BB-B0B6-F289B8B23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2" y="31751"/>
          <a:ext cx="2435226" cy="5178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32807</xdr:colOff>
      <xdr:row>0</xdr:row>
      <xdr:rowOff>0</xdr:rowOff>
    </xdr:from>
    <xdr:to>
      <xdr:col>4</xdr:col>
      <xdr:colOff>3174</xdr:colOff>
      <xdr:row>2</xdr:row>
      <xdr:rowOff>207087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90CB7186-5169-447C-AEBB-D6F0A37C5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7" y="0"/>
          <a:ext cx="2462742" cy="522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171113</xdr:colOff>
      <xdr:row>2</xdr:row>
      <xdr:rowOff>210262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96093196-63D4-4FCE-9E73-88FC0B78E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399963" cy="5398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42336</xdr:colOff>
      <xdr:row>0</xdr:row>
      <xdr:rowOff>31749</xdr:rowOff>
    </xdr:from>
    <xdr:to>
      <xdr:col>3</xdr:col>
      <xdr:colOff>683561</xdr:colOff>
      <xdr:row>2</xdr:row>
      <xdr:rowOff>207933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6543E88-C2F1-4031-9D1F-2BFEA9AB5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6" y="31749"/>
          <a:ext cx="2425575" cy="5305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54429</xdr:rowOff>
    </xdr:from>
    <xdr:to>
      <xdr:col>0</xdr:col>
      <xdr:colOff>2488648</xdr:colOff>
      <xdr:row>0</xdr:row>
      <xdr:rowOff>669700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18CFE35-0176-4581-BD27-0610A02E8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54429"/>
          <a:ext cx="2428322" cy="6209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35ED-D30D-4D4F-9A24-CD12F881DC5B}">
  <sheetPr>
    <pageSetUpPr fitToPage="1"/>
  </sheetPr>
  <dimension ref="A1:P38"/>
  <sheetViews>
    <sheetView tabSelected="1" zoomScaleNormal="100" workbookViewId="0">
      <selection activeCell="L27" sqref="L27"/>
    </sheetView>
  </sheetViews>
  <sheetFormatPr defaultColWidth="8.85546875" defaultRowHeight="16.5" x14ac:dyDescent="0.3"/>
  <cols>
    <col min="1" max="1" width="12.7109375" style="74" customWidth="1"/>
    <col min="2" max="2" width="5.28515625" style="74" customWidth="1"/>
    <col min="3" max="3" width="8.7109375" style="74" bestFit="1" customWidth="1"/>
    <col min="4" max="4" width="9.85546875" style="74" bestFit="1" customWidth="1"/>
    <col min="5" max="5" width="11" style="74" bestFit="1" customWidth="1"/>
    <col min="6" max="6" width="9.85546875" style="74" bestFit="1" customWidth="1"/>
    <col min="7" max="7" width="11.28515625" style="74" bestFit="1" customWidth="1"/>
    <col min="8" max="8" width="9.28515625" style="74" bestFit="1" customWidth="1"/>
    <col min="9" max="9" width="11.7109375" style="74" bestFit="1" customWidth="1"/>
    <col min="10" max="10" width="11.85546875" style="74" bestFit="1" customWidth="1"/>
    <col min="11" max="11" width="15.85546875" style="74" bestFit="1" customWidth="1"/>
    <col min="12" max="12" width="17.42578125" style="74" bestFit="1" customWidth="1"/>
    <col min="13" max="13" width="8.85546875" style="74"/>
    <col min="14" max="14" width="17.28515625" style="74" customWidth="1"/>
    <col min="15" max="15" width="17.140625" style="74" customWidth="1"/>
    <col min="16" max="16" width="8.28515625" style="74" customWidth="1"/>
    <col min="17" max="16384" width="8.85546875" style="74"/>
  </cols>
  <sheetData>
    <row r="1" spans="1:16" x14ac:dyDescent="0.3">
      <c r="C1" s="79"/>
      <c r="D1" s="79"/>
      <c r="E1" s="79"/>
      <c r="F1" s="79"/>
      <c r="G1" s="79"/>
      <c r="H1" s="79"/>
      <c r="I1" s="79"/>
      <c r="J1" s="80"/>
      <c r="K1" s="81"/>
      <c r="L1" s="81"/>
    </row>
    <row r="2" spans="1:16" x14ac:dyDescent="0.3">
      <c r="C2" s="79"/>
      <c r="D2" s="79"/>
      <c r="E2" s="79"/>
      <c r="F2" s="79"/>
      <c r="G2" s="79"/>
      <c r="H2" s="79"/>
      <c r="I2" s="79"/>
      <c r="J2" s="80"/>
      <c r="K2" s="81"/>
      <c r="L2" s="81"/>
    </row>
    <row r="3" spans="1:16" ht="34.5" customHeight="1" thickBot="1" x14ac:dyDescent="0.35">
      <c r="C3" s="79"/>
      <c r="D3" s="79"/>
      <c r="E3" s="79"/>
      <c r="F3" s="79"/>
      <c r="G3" s="79"/>
      <c r="H3" s="79"/>
      <c r="I3" s="79"/>
      <c r="J3" s="80"/>
      <c r="K3" s="81"/>
      <c r="L3" s="81"/>
    </row>
    <row r="4" spans="1:16" ht="67.5" customHeight="1" thickBot="1" x14ac:dyDescent="0.35">
      <c r="A4" s="164" t="s">
        <v>0</v>
      </c>
      <c r="B4" s="165"/>
      <c r="C4" s="166" t="s">
        <v>1</v>
      </c>
      <c r="D4" s="167"/>
      <c r="E4" s="167"/>
      <c r="F4" s="167"/>
      <c r="G4" s="168"/>
      <c r="H4" s="169"/>
      <c r="I4" s="72" t="s">
        <v>2</v>
      </c>
      <c r="J4" s="170" t="s">
        <v>74</v>
      </c>
      <c r="K4" s="171"/>
      <c r="L4" s="172"/>
      <c r="M4" s="9"/>
      <c r="N4" s="173" t="s">
        <v>3</v>
      </c>
      <c r="O4" s="174"/>
      <c r="P4" s="175"/>
    </row>
    <row r="5" spans="1:16" ht="34.15" customHeight="1" thickBot="1" x14ac:dyDescent="0.35">
      <c r="A5" s="90" t="s">
        <v>4</v>
      </c>
      <c r="B5" s="91" t="s">
        <v>5</v>
      </c>
      <c r="C5" s="90" t="s">
        <v>6</v>
      </c>
      <c r="D5" s="90" t="s">
        <v>7</v>
      </c>
      <c r="E5" s="90" t="s">
        <v>8</v>
      </c>
      <c r="F5" s="90" t="s">
        <v>9</v>
      </c>
      <c r="G5" s="90" t="s">
        <v>10</v>
      </c>
      <c r="H5" s="90" t="s">
        <v>11</v>
      </c>
      <c r="I5" s="54" t="s">
        <v>12</v>
      </c>
      <c r="J5" s="92" t="s">
        <v>13</v>
      </c>
      <c r="K5" s="46" t="s">
        <v>14</v>
      </c>
      <c r="L5" s="47" t="s">
        <v>15</v>
      </c>
      <c r="M5" s="9"/>
      <c r="N5" s="93" t="s">
        <v>16</v>
      </c>
      <c r="O5" s="2">
        <v>9</v>
      </c>
      <c r="P5" s="3" t="s">
        <v>17</v>
      </c>
    </row>
    <row r="6" spans="1:16" x14ac:dyDescent="0.3">
      <c r="A6" s="51">
        <v>1</v>
      </c>
      <c r="B6" s="24">
        <f>(5+(5*A6))</f>
        <v>10</v>
      </c>
      <c r="C6" s="24">
        <f>'Árlista 2025.01.01'!$C$15</f>
        <v>270</v>
      </c>
      <c r="D6" s="24">
        <f>(A6*$O$5)+$O$6</f>
        <v>29</v>
      </c>
      <c r="E6" s="24">
        <f t="shared" ref="E6:E25" si="0">A6*$O$7</f>
        <v>15</v>
      </c>
      <c r="F6" s="25">
        <f>(($O$16/10080)*$P$15)</f>
        <v>432.79464285714289</v>
      </c>
      <c r="G6" s="25">
        <f>($P$27/$L$27)</f>
        <v>0</v>
      </c>
      <c r="H6" s="25">
        <f>SUM(C6:G6)</f>
        <v>746.79464285714289</v>
      </c>
      <c r="I6" s="25">
        <f>'Árlista 2025.01.01'!$C$5+((A6-1)*'Árlista 2025.01.01'!$C$6)</f>
        <v>349</v>
      </c>
      <c r="J6" s="109">
        <f>H6-I6</f>
        <v>397.79464285714289</v>
      </c>
      <c r="K6" s="110">
        <f>(J6*$L$27)</f>
        <v>397794.6428571429</v>
      </c>
      <c r="L6" s="111">
        <f>(12*K6)</f>
        <v>4773535.7142857146</v>
      </c>
      <c r="M6" s="26"/>
      <c r="N6" s="93" t="s">
        <v>18</v>
      </c>
      <c r="O6" s="2">
        <v>20</v>
      </c>
      <c r="P6" s="5" t="s">
        <v>17</v>
      </c>
    </row>
    <row r="7" spans="1:16" x14ac:dyDescent="0.3">
      <c r="A7" s="52">
        <v>2</v>
      </c>
      <c r="B7" s="23">
        <f t="shared" ref="B7:B11" si="1">(5+(5*A7))</f>
        <v>15</v>
      </c>
      <c r="C7" s="23">
        <f>'Árlista 2025.01.01'!$C$15</f>
        <v>270</v>
      </c>
      <c r="D7" s="23">
        <f t="shared" ref="D7:D10" si="2">(A7*$O$5)+$O$6</f>
        <v>38</v>
      </c>
      <c r="E7" s="23">
        <f t="shared" si="0"/>
        <v>30</v>
      </c>
      <c r="F7" s="27">
        <f t="shared" ref="F7:F25" si="3">(($O$16/10080)*$P$15)</f>
        <v>432.79464285714289</v>
      </c>
      <c r="G7" s="27">
        <f t="shared" ref="G7:G25" si="4">($P$27/$L$27)</f>
        <v>0</v>
      </c>
      <c r="H7" s="27">
        <f>SUM(C7:G7)</f>
        <v>770.79464285714289</v>
      </c>
      <c r="I7" s="27">
        <f>'Árlista 2025.01.01'!$C$5+((A7-1)*'Árlista 2025.01.01'!$C$6)</f>
        <v>406</v>
      </c>
      <c r="J7" s="112">
        <f t="shared" ref="J7:J24" si="5">H7-I7</f>
        <v>364.79464285714289</v>
      </c>
      <c r="K7" s="113">
        <f t="shared" ref="K7:K24" si="6">(J7*$L$27)</f>
        <v>364794.6428571429</v>
      </c>
      <c r="L7" s="114">
        <f>(12*K7)</f>
        <v>4377535.7142857146</v>
      </c>
      <c r="M7" s="26"/>
      <c r="N7" s="93" t="s">
        <v>19</v>
      </c>
      <c r="O7" s="2">
        <v>15</v>
      </c>
      <c r="P7" s="5" t="s">
        <v>20</v>
      </c>
    </row>
    <row r="8" spans="1:16" ht="17.25" thickBot="1" x14ac:dyDescent="0.35">
      <c r="A8" s="52">
        <v>3</v>
      </c>
      <c r="B8" s="23">
        <f t="shared" si="1"/>
        <v>20</v>
      </c>
      <c r="C8" s="23">
        <f>'Árlista 2025.01.01'!$C$15</f>
        <v>270</v>
      </c>
      <c r="D8" s="23">
        <f t="shared" si="2"/>
        <v>47</v>
      </c>
      <c r="E8" s="23">
        <f t="shared" si="0"/>
        <v>45</v>
      </c>
      <c r="F8" s="27">
        <f t="shared" si="3"/>
        <v>432.79464285714289</v>
      </c>
      <c r="G8" s="27">
        <f t="shared" si="4"/>
        <v>0</v>
      </c>
      <c r="H8" s="27">
        <f t="shared" ref="H8:H12" si="7">SUM(C8:G8)</f>
        <v>794.79464285714289</v>
      </c>
      <c r="I8" s="27">
        <f>'Árlista 2025.01.01'!$C$5+((A8-1)*'Árlista 2025.01.01'!$C$6)</f>
        <v>463</v>
      </c>
      <c r="J8" s="112">
        <f t="shared" si="5"/>
        <v>331.79464285714289</v>
      </c>
      <c r="K8" s="113">
        <f t="shared" si="6"/>
        <v>331794.6428571429</v>
      </c>
      <c r="L8" s="114">
        <f t="shared" ref="L8:L24" si="8">(12*K8)</f>
        <v>3981535.7142857146</v>
      </c>
      <c r="M8" s="26"/>
      <c r="N8" s="94" t="s">
        <v>21</v>
      </c>
      <c r="O8" s="7">
        <v>129</v>
      </c>
      <c r="P8" s="8" t="s">
        <v>17</v>
      </c>
    </row>
    <row r="9" spans="1:16" ht="17.25" thickBot="1" x14ac:dyDescent="0.35">
      <c r="A9" s="52">
        <v>4</v>
      </c>
      <c r="B9" s="23">
        <f t="shared" si="1"/>
        <v>25</v>
      </c>
      <c r="C9" s="23">
        <f>'Árlista 2025.01.01'!$C$15</f>
        <v>270</v>
      </c>
      <c r="D9" s="23">
        <f t="shared" si="2"/>
        <v>56</v>
      </c>
      <c r="E9" s="23">
        <f t="shared" si="0"/>
        <v>60</v>
      </c>
      <c r="F9" s="27">
        <f t="shared" si="3"/>
        <v>432.79464285714289</v>
      </c>
      <c r="G9" s="27">
        <f t="shared" si="4"/>
        <v>0</v>
      </c>
      <c r="H9" s="27">
        <f t="shared" si="7"/>
        <v>818.79464285714289</v>
      </c>
      <c r="I9" s="27">
        <f>'Árlista 2025.01.01'!$C$5+((A9-1)*'Árlista 2025.01.01'!$C$6)</f>
        <v>520</v>
      </c>
      <c r="J9" s="112">
        <f t="shared" si="5"/>
        <v>298.79464285714289</v>
      </c>
      <c r="K9" s="113">
        <f t="shared" si="6"/>
        <v>298794.6428571429</v>
      </c>
      <c r="L9" s="114">
        <f t="shared" si="8"/>
        <v>3585535.7142857146</v>
      </c>
      <c r="M9" s="26"/>
      <c r="N9" s="9"/>
      <c r="O9" s="9"/>
      <c r="P9" s="9"/>
    </row>
    <row r="10" spans="1:16" x14ac:dyDescent="0.3">
      <c r="A10" s="52">
        <v>5</v>
      </c>
      <c r="B10" s="23">
        <f t="shared" si="1"/>
        <v>30</v>
      </c>
      <c r="C10" s="23">
        <f>'Árlista 2025.01.01'!$C$15</f>
        <v>270</v>
      </c>
      <c r="D10" s="23">
        <f t="shared" si="2"/>
        <v>65</v>
      </c>
      <c r="E10" s="23">
        <f t="shared" si="0"/>
        <v>75</v>
      </c>
      <c r="F10" s="27">
        <f t="shared" si="3"/>
        <v>432.79464285714289</v>
      </c>
      <c r="G10" s="27">
        <f t="shared" si="4"/>
        <v>0</v>
      </c>
      <c r="H10" s="27">
        <f t="shared" si="7"/>
        <v>842.79464285714289</v>
      </c>
      <c r="I10" s="27">
        <f>'Árlista 2025.01.01'!$C$5+((A10-1)*'Árlista 2025.01.01'!$C$6)</f>
        <v>577</v>
      </c>
      <c r="J10" s="112">
        <f t="shared" si="5"/>
        <v>265.79464285714289</v>
      </c>
      <c r="K10" s="112">
        <f t="shared" si="6"/>
        <v>265794.6428571429</v>
      </c>
      <c r="L10" s="142">
        <f t="shared" si="8"/>
        <v>3189535.7142857146</v>
      </c>
      <c r="M10" s="26"/>
      <c r="N10" s="173" t="s">
        <v>22</v>
      </c>
      <c r="O10" s="174"/>
      <c r="P10" s="175"/>
    </row>
    <row r="11" spans="1:16" x14ac:dyDescent="0.3">
      <c r="A11" s="52">
        <v>6</v>
      </c>
      <c r="B11" s="23">
        <f t="shared" si="1"/>
        <v>35</v>
      </c>
      <c r="C11" s="23">
        <f>'Árlista 2025.01.01'!$C$15</f>
        <v>270</v>
      </c>
      <c r="D11" s="23">
        <f>(A11*$O$5)+$O$6</f>
        <v>74</v>
      </c>
      <c r="E11" s="23">
        <f t="shared" si="0"/>
        <v>90</v>
      </c>
      <c r="F11" s="27">
        <f t="shared" si="3"/>
        <v>432.79464285714289</v>
      </c>
      <c r="G11" s="27">
        <f t="shared" si="4"/>
        <v>0</v>
      </c>
      <c r="H11" s="27">
        <f t="shared" si="7"/>
        <v>866.79464285714289</v>
      </c>
      <c r="I11" s="27">
        <f>'Árlista 2025.01.01'!$C$5+((A11-1)*'Árlista 2025.01.01'!$C$6)</f>
        <v>634</v>
      </c>
      <c r="J11" s="113">
        <f>H11-I11</f>
        <v>232.79464285714289</v>
      </c>
      <c r="K11" s="113">
        <f t="shared" si="6"/>
        <v>232794.6428571429</v>
      </c>
      <c r="L11" s="114">
        <f>(12*K11)</f>
        <v>2793535.7142857146</v>
      </c>
      <c r="M11" s="26"/>
      <c r="N11" s="176" t="s">
        <v>23</v>
      </c>
      <c r="O11" s="177"/>
      <c r="P11" s="10">
        <v>2</v>
      </c>
    </row>
    <row r="12" spans="1:16" x14ac:dyDescent="0.3">
      <c r="A12" s="52">
        <v>7</v>
      </c>
      <c r="B12" s="23">
        <f>(5+(5*A12))</f>
        <v>40</v>
      </c>
      <c r="C12" s="23">
        <f>'Árlista 2025.01.01'!$C$15</f>
        <v>270</v>
      </c>
      <c r="D12" s="23">
        <f>(A12*$O$5)+$O$6</f>
        <v>83</v>
      </c>
      <c r="E12" s="23">
        <f>A12*$O$7</f>
        <v>105</v>
      </c>
      <c r="F12" s="27">
        <f t="shared" si="3"/>
        <v>432.79464285714289</v>
      </c>
      <c r="G12" s="27">
        <f t="shared" si="4"/>
        <v>0</v>
      </c>
      <c r="H12" s="27">
        <f t="shared" si="7"/>
        <v>890.79464285714289</v>
      </c>
      <c r="I12" s="27">
        <f>'Árlista 2025.01.01'!$C$5+((A12-1)*'Árlista 2025.01.01'!$C$6)</f>
        <v>691</v>
      </c>
      <c r="J12" s="113">
        <f t="shared" si="5"/>
        <v>199.79464285714289</v>
      </c>
      <c r="K12" s="113">
        <f t="shared" si="6"/>
        <v>199794.6428571429</v>
      </c>
      <c r="L12" s="114">
        <f t="shared" si="8"/>
        <v>2397535.7142857146</v>
      </c>
      <c r="M12" s="26"/>
      <c r="N12" s="176" t="s">
        <v>24</v>
      </c>
      <c r="O12" s="177"/>
      <c r="P12" s="10">
        <v>1</v>
      </c>
    </row>
    <row r="13" spans="1:16" x14ac:dyDescent="0.3">
      <c r="A13" s="52">
        <v>8</v>
      </c>
      <c r="B13" s="23">
        <f>(5+(5*A13))</f>
        <v>45</v>
      </c>
      <c r="C13" s="23">
        <f>'Árlista 2025.01.01'!$C$15</f>
        <v>270</v>
      </c>
      <c r="D13" s="23">
        <f>(A13*$O$5)+$O$6</f>
        <v>92</v>
      </c>
      <c r="E13" s="23">
        <f t="shared" si="0"/>
        <v>120</v>
      </c>
      <c r="F13" s="27">
        <f t="shared" si="3"/>
        <v>432.79464285714289</v>
      </c>
      <c r="G13" s="27">
        <f t="shared" si="4"/>
        <v>0</v>
      </c>
      <c r="H13" s="27">
        <f t="shared" ref="H13:H25" si="9">SUM(C13:G13)</f>
        <v>914.79464285714289</v>
      </c>
      <c r="I13" s="27">
        <f>'Árlista 2025.01.01'!$C$5+((A13-1)*'Árlista 2025.01.01'!$C$6)</f>
        <v>748</v>
      </c>
      <c r="J13" s="113">
        <f t="shared" si="5"/>
        <v>166.79464285714289</v>
      </c>
      <c r="K13" s="113">
        <f t="shared" si="6"/>
        <v>166794.6428571429</v>
      </c>
      <c r="L13" s="114">
        <f t="shared" si="8"/>
        <v>2001535.7142857148</v>
      </c>
      <c r="M13" s="26"/>
      <c r="N13" s="176" t="s">
        <v>25</v>
      </c>
      <c r="O13" s="177"/>
      <c r="P13" s="10">
        <v>3</v>
      </c>
    </row>
    <row r="14" spans="1:16" ht="17.25" thickBot="1" x14ac:dyDescent="0.35">
      <c r="A14" s="52">
        <v>9</v>
      </c>
      <c r="B14" s="23">
        <f>(14+(5*A14))</f>
        <v>59</v>
      </c>
      <c r="C14" s="23">
        <f>'Árlista 2025.01.01'!$C$16</f>
        <v>815</v>
      </c>
      <c r="D14" s="23">
        <f t="shared" ref="D14:D25" si="10">(A14*$O$5)+$O$8</f>
        <v>210</v>
      </c>
      <c r="E14" s="23">
        <f t="shared" si="0"/>
        <v>135</v>
      </c>
      <c r="F14" s="27">
        <f t="shared" si="3"/>
        <v>432.79464285714289</v>
      </c>
      <c r="G14" s="27">
        <f t="shared" si="4"/>
        <v>0</v>
      </c>
      <c r="H14" s="27">
        <f t="shared" si="9"/>
        <v>1592.7946428571429</v>
      </c>
      <c r="I14" s="27">
        <f>'Árlista 2025.01.01'!$C$5+((A14-1)*'Árlista 2025.01.01'!$C$6)+'Árlista 2025.01.01'!$C$8</f>
        <v>965</v>
      </c>
      <c r="J14" s="113">
        <f t="shared" si="5"/>
        <v>627.79464285714289</v>
      </c>
      <c r="K14" s="113">
        <f t="shared" si="6"/>
        <v>627794.64285714284</v>
      </c>
      <c r="L14" s="114">
        <f t="shared" si="8"/>
        <v>7533535.7142857146</v>
      </c>
      <c r="M14" s="26"/>
      <c r="N14" s="178" t="s">
        <v>26</v>
      </c>
      <c r="O14" s="179"/>
      <c r="P14" s="95">
        <v>3</v>
      </c>
    </row>
    <row r="15" spans="1:16" ht="17.25" thickBot="1" x14ac:dyDescent="0.35">
      <c r="A15" s="52">
        <v>10</v>
      </c>
      <c r="B15" s="23">
        <f t="shared" ref="B15:B24" si="11">(14+(5*A15))</f>
        <v>64</v>
      </c>
      <c r="C15" s="23">
        <f>'Árlista 2025.01.01'!$C$16</f>
        <v>815</v>
      </c>
      <c r="D15" s="23">
        <f t="shared" si="10"/>
        <v>219</v>
      </c>
      <c r="E15" s="23">
        <f t="shared" si="0"/>
        <v>150</v>
      </c>
      <c r="F15" s="27">
        <f t="shared" si="3"/>
        <v>432.79464285714289</v>
      </c>
      <c r="G15" s="27">
        <f t="shared" si="4"/>
        <v>0</v>
      </c>
      <c r="H15" s="27">
        <f>SUM(C15:G15)</f>
        <v>1616.7946428571429</v>
      </c>
      <c r="I15" s="27">
        <f>'Árlista 2025.01.01'!$C$5+((A15-1)*'Árlista 2025.01.01'!$C$6)+'Árlista 2025.01.01'!$C$8</f>
        <v>1022</v>
      </c>
      <c r="J15" s="113">
        <f>H15-I15</f>
        <v>594.79464285714289</v>
      </c>
      <c r="K15" s="113">
        <f t="shared" si="6"/>
        <v>594794.64285714284</v>
      </c>
      <c r="L15" s="114">
        <f t="shared" si="8"/>
        <v>7137535.7142857146</v>
      </c>
      <c r="M15" s="26"/>
      <c r="N15" s="180" t="s">
        <v>27</v>
      </c>
      <c r="O15" s="181"/>
      <c r="P15" s="11">
        <f>SUM(P11:P14)</f>
        <v>9</v>
      </c>
    </row>
    <row r="16" spans="1:16" ht="17.25" thickBot="1" x14ac:dyDescent="0.35">
      <c r="A16" s="52">
        <v>11</v>
      </c>
      <c r="B16" s="23">
        <f t="shared" si="11"/>
        <v>69</v>
      </c>
      <c r="C16" s="23">
        <f>'Árlista 2025.01.01'!$C$16</f>
        <v>815</v>
      </c>
      <c r="D16" s="23">
        <f t="shared" si="10"/>
        <v>228</v>
      </c>
      <c r="E16" s="23">
        <f t="shared" si="0"/>
        <v>165</v>
      </c>
      <c r="F16" s="27">
        <f t="shared" si="3"/>
        <v>432.79464285714289</v>
      </c>
      <c r="G16" s="27">
        <f t="shared" si="4"/>
        <v>0</v>
      </c>
      <c r="H16" s="27">
        <f t="shared" si="9"/>
        <v>1640.7946428571429</v>
      </c>
      <c r="I16" s="27">
        <f>'Árlista 2025.01.01'!$C$5+((A16-1)*'Árlista 2025.01.01'!$C$6)+'Árlista 2025.01.01'!$C$8</f>
        <v>1079</v>
      </c>
      <c r="J16" s="113">
        <f t="shared" si="5"/>
        <v>561.79464285714289</v>
      </c>
      <c r="K16" s="113">
        <f t="shared" si="6"/>
        <v>561794.64285714284</v>
      </c>
      <c r="L16" s="114">
        <f t="shared" si="8"/>
        <v>6741535.7142857146</v>
      </c>
      <c r="M16" s="26"/>
      <c r="N16" s="12" t="s">
        <v>28</v>
      </c>
      <c r="O16" s="182">
        <v>484730</v>
      </c>
      <c r="P16" s="183"/>
    </row>
    <row r="17" spans="1:16" ht="17.25" thickBot="1" x14ac:dyDescent="0.35">
      <c r="A17" s="52">
        <v>12</v>
      </c>
      <c r="B17" s="23">
        <f t="shared" si="11"/>
        <v>74</v>
      </c>
      <c r="C17" s="23">
        <f>'Árlista 2025.01.01'!$C$16</f>
        <v>815</v>
      </c>
      <c r="D17" s="23">
        <f t="shared" si="10"/>
        <v>237</v>
      </c>
      <c r="E17" s="23">
        <f t="shared" si="0"/>
        <v>180</v>
      </c>
      <c r="F17" s="27">
        <f t="shared" si="3"/>
        <v>432.79464285714289</v>
      </c>
      <c r="G17" s="27">
        <f t="shared" si="4"/>
        <v>0</v>
      </c>
      <c r="H17" s="27">
        <f>SUM(C17:G17)</f>
        <v>1664.7946428571429</v>
      </c>
      <c r="I17" s="27">
        <f>'Árlista 2025.01.01'!$C$5+((A17-1)*'Árlista 2025.01.01'!$C$6)+'Árlista 2025.01.01'!$C$8</f>
        <v>1136</v>
      </c>
      <c r="J17" s="113">
        <f t="shared" si="5"/>
        <v>528.79464285714289</v>
      </c>
      <c r="K17" s="113">
        <f t="shared" si="6"/>
        <v>528794.64285714284</v>
      </c>
      <c r="L17" s="114">
        <f t="shared" si="8"/>
        <v>6345535.7142857146</v>
      </c>
      <c r="M17" s="26"/>
      <c r="N17" s="9"/>
      <c r="O17" s="9"/>
      <c r="P17" s="9"/>
    </row>
    <row r="18" spans="1:16" ht="17.25" thickBot="1" x14ac:dyDescent="0.35">
      <c r="A18" s="52">
        <v>13</v>
      </c>
      <c r="B18" s="23">
        <f t="shared" si="11"/>
        <v>79</v>
      </c>
      <c r="C18" s="23">
        <f>'Árlista 2025.01.01'!$C$16</f>
        <v>815</v>
      </c>
      <c r="D18" s="23">
        <f t="shared" si="10"/>
        <v>246</v>
      </c>
      <c r="E18" s="23">
        <f t="shared" si="0"/>
        <v>195</v>
      </c>
      <c r="F18" s="27">
        <f t="shared" si="3"/>
        <v>432.79464285714289</v>
      </c>
      <c r="G18" s="27">
        <f t="shared" si="4"/>
        <v>0</v>
      </c>
      <c r="H18" s="27">
        <f t="shared" si="9"/>
        <v>1688.7946428571429</v>
      </c>
      <c r="I18" s="27">
        <f>'Árlista 2025.01.01'!$C$5+((A18-1)*'Árlista 2025.01.01'!$C$6)+'Árlista 2025.01.01'!$C$8</f>
        <v>1193</v>
      </c>
      <c r="J18" s="113">
        <f t="shared" si="5"/>
        <v>495.79464285714289</v>
      </c>
      <c r="K18" s="113">
        <f t="shared" si="6"/>
        <v>495794.6428571429</v>
      </c>
      <c r="L18" s="114">
        <f t="shared" si="8"/>
        <v>5949535.7142857146</v>
      </c>
      <c r="M18" s="26"/>
      <c r="N18" s="161" t="s">
        <v>29</v>
      </c>
      <c r="O18" s="162"/>
      <c r="P18" s="163"/>
    </row>
    <row r="19" spans="1:16" x14ac:dyDescent="0.3">
      <c r="A19" s="52">
        <v>14</v>
      </c>
      <c r="B19" s="23">
        <f t="shared" si="11"/>
        <v>84</v>
      </c>
      <c r="C19" s="23">
        <f>'Árlista 2025.01.01'!$C$16</f>
        <v>815</v>
      </c>
      <c r="D19" s="23">
        <f t="shared" si="10"/>
        <v>255</v>
      </c>
      <c r="E19" s="23">
        <f t="shared" si="0"/>
        <v>210</v>
      </c>
      <c r="F19" s="27">
        <f t="shared" si="3"/>
        <v>432.79464285714289</v>
      </c>
      <c r="G19" s="27">
        <f t="shared" si="4"/>
        <v>0</v>
      </c>
      <c r="H19" s="27">
        <f t="shared" si="9"/>
        <v>1712.7946428571429</v>
      </c>
      <c r="I19" s="27">
        <f>'Árlista 2025.01.01'!$C$5+((A19-1)*'Árlista 2025.01.01'!$C$6)+'Árlista 2025.01.01'!$C$8</f>
        <v>1250</v>
      </c>
      <c r="J19" s="113">
        <f t="shared" si="5"/>
        <v>462.79464285714289</v>
      </c>
      <c r="K19" s="113">
        <f t="shared" si="6"/>
        <v>462794.6428571429</v>
      </c>
      <c r="L19" s="114">
        <f t="shared" si="8"/>
        <v>5553535.7142857146</v>
      </c>
      <c r="M19" s="26"/>
      <c r="N19" s="149" t="s">
        <v>30</v>
      </c>
      <c r="O19" s="150"/>
      <c r="P19" s="153">
        <v>0</v>
      </c>
    </row>
    <row r="20" spans="1:16" x14ac:dyDescent="0.3">
      <c r="A20" s="52">
        <v>15</v>
      </c>
      <c r="B20" s="23">
        <f t="shared" si="11"/>
        <v>89</v>
      </c>
      <c r="C20" s="23">
        <f>'Árlista 2025.01.01'!$C$16</f>
        <v>815</v>
      </c>
      <c r="D20" s="23">
        <f t="shared" si="10"/>
        <v>264</v>
      </c>
      <c r="E20" s="23">
        <f t="shared" si="0"/>
        <v>225</v>
      </c>
      <c r="F20" s="27">
        <f t="shared" si="3"/>
        <v>432.79464285714289</v>
      </c>
      <c r="G20" s="27">
        <f t="shared" si="4"/>
        <v>0</v>
      </c>
      <c r="H20" s="27">
        <f t="shared" si="9"/>
        <v>1736.7946428571429</v>
      </c>
      <c r="I20" s="27">
        <f>'Árlista 2025.01.01'!$C$5+((A20-1)*'Árlista 2025.01.01'!$C$6)+'Árlista 2025.01.01'!$C$8</f>
        <v>1307</v>
      </c>
      <c r="J20" s="113">
        <f t="shared" si="5"/>
        <v>429.79464285714289</v>
      </c>
      <c r="K20" s="113">
        <f t="shared" si="6"/>
        <v>429794.6428571429</v>
      </c>
      <c r="L20" s="114">
        <f t="shared" si="8"/>
        <v>5157535.7142857146</v>
      </c>
      <c r="M20" s="26"/>
      <c r="N20" s="151"/>
      <c r="O20" s="152"/>
      <c r="P20" s="154"/>
    </row>
    <row r="21" spans="1:16" x14ac:dyDescent="0.3">
      <c r="A21" s="52">
        <v>16</v>
      </c>
      <c r="B21" s="23">
        <f t="shared" si="11"/>
        <v>94</v>
      </c>
      <c r="C21" s="23">
        <f>'Árlista 2025.01.01'!$C$16</f>
        <v>815</v>
      </c>
      <c r="D21" s="23">
        <f t="shared" si="10"/>
        <v>273</v>
      </c>
      <c r="E21" s="23">
        <f t="shared" si="0"/>
        <v>240</v>
      </c>
      <c r="F21" s="27">
        <f t="shared" si="3"/>
        <v>432.79464285714289</v>
      </c>
      <c r="G21" s="27">
        <f t="shared" si="4"/>
        <v>0</v>
      </c>
      <c r="H21" s="27">
        <f t="shared" si="9"/>
        <v>1760.7946428571429</v>
      </c>
      <c r="I21" s="27">
        <f>'Árlista 2025.01.01'!$C$5+((A21-1)*'Árlista 2025.01.01'!$C$6)+'Árlista 2025.01.01'!$C$8</f>
        <v>1364</v>
      </c>
      <c r="J21" s="113">
        <f t="shared" si="5"/>
        <v>396.79464285714289</v>
      </c>
      <c r="K21" s="113">
        <f t="shared" si="6"/>
        <v>396794.6428571429</v>
      </c>
      <c r="L21" s="114">
        <f t="shared" si="8"/>
        <v>4761535.7142857146</v>
      </c>
      <c r="M21" s="26"/>
      <c r="N21" s="155" t="s">
        <v>31</v>
      </c>
      <c r="O21" s="156"/>
      <c r="P21" s="157">
        <v>0</v>
      </c>
    </row>
    <row r="22" spans="1:16" x14ac:dyDescent="0.3">
      <c r="A22" s="52">
        <v>17</v>
      </c>
      <c r="B22" s="23">
        <f t="shared" si="11"/>
        <v>99</v>
      </c>
      <c r="C22" s="23">
        <f>'Árlista 2025.01.01'!$C$16</f>
        <v>815</v>
      </c>
      <c r="D22" s="23">
        <f t="shared" si="10"/>
        <v>282</v>
      </c>
      <c r="E22" s="23">
        <f t="shared" si="0"/>
        <v>255</v>
      </c>
      <c r="F22" s="27">
        <f t="shared" si="3"/>
        <v>432.79464285714289</v>
      </c>
      <c r="G22" s="27">
        <f t="shared" si="4"/>
        <v>0</v>
      </c>
      <c r="H22" s="27">
        <f t="shared" si="9"/>
        <v>1784.7946428571429</v>
      </c>
      <c r="I22" s="27">
        <f>'Árlista 2025.01.01'!$C$5+((A22-1)*'Árlista 2025.01.01'!$C$6)+'Árlista 2025.01.01'!$C$8</f>
        <v>1421</v>
      </c>
      <c r="J22" s="113">
        <f t="shared" si="5"/>
        <v>363.79464285714289</v>
      </c>
      <c r="K22" s="113">
        <f t="shared" si="6"/>
        <v>363794.6428571429</v>
      </c>
      <c r="L22" s="114">
        <f t="shared" si="8"/>
        <v>4365535.7142857146</v>
      </c>
      <c r="M22" s="26"/>
      <c r="N22" s="155"/>
      <c r="O22" s="156"/>
      <c r="P22" s="157"/>
    </row>
    <row r="23" spans="1:16" x14ac:dyDescent="0.3">
      <c r="A23" s="52">
        <v>18</v>
      </c>
      <c r="B23" s="23">
        <f t="shared" si="11"/>
        <v>104</v>
      </c>
      <c r="C23" s="23">
        <f>'Árlista 2025.01.01'!$C$16</f>
        <v>815</v>
      </c>
      <c r="D23" s="23">
        <f t="shared" si="10"/>
        <v>291</v>
      </c>
      <c r="E23" s="23">
        <f t="shared" si="0"/>
        <v>270</v>
      </c>
      <c r="F23" s="27">
        <f t="shared" si="3"/>
        <v>432.79464285714289</v>
      </c>
      <c r="G23" s="27">
        <f t="shared" si="4"/>
        <v>0</v>
      </c>
      <c r="H23" s="27">
        <f t="shared" si="9"/>
        <v>1808.7946428571429</v>
      </c>
      <c r="I23" s="27">
        <f>'Árlista 2025.01.01'!$C$5+((A23-1)*'Árlista 2025.01.01'!$C$6)+'Árlista 2025.01.01'!$C$8</f>
        <v>1478</v>
      </c>
      <c r="J23" s="113">
        <f t="shared" si="5"/>
        <v>330.79464285714289</v>
      </c>
      <c r="K23" s="113">
        <f>(J23*$L$27)</f>
        <v>330794.6428571429</v>
      </c>
      <c r="L23" s="114">
        <f t="shared" si="8"/>
        <v>3969535.7142857146</v>
      </c>
      <c r="M23" s="26"/>
      <c r="N23" s="13" t="s">
        <v>32</v>
      </c>
      <c r="O23" s="14"/>
      <c r="P23" s="15">
        <v>0</v>
      </c>
    </row>
    <row r="24" spans="1:16" x14ac:dyDescent="0.3">
      <c r="A24" s="52">
        <v>19</v>
      </c>
      <c r="B24" s="23">
        <f t="shared" si="11"/>
        <v>109</v>
      </c>
      <c r="C24" s="23">
        <f>'Árlista 2025.01.01'!$C$16</f>
        <v>815</v>
      </c>
      <c r="D24" s="23">
        <f t="shared" si="10"/>
        <v>300</v>
      </c>
      <c r="E24" s="23">
        <f t="shared" si="0"/>
        <v>285</v>
      </c>
      <c r="F24" s="27">
        <f t="shared" si="3"/>
        <v>432.79464285714289</v>
      </c>
      <c r="G24" s="27">
        <f t="shared" si="4"/>
        <v>0</v>
      </c>
      <c r="H24" s="27">
        <f t="shared" si="9"/>
        <v>1832.7946428571429</v>
      </c>
      <c r="I24" s="27">
        <f>'Árlista 2025.01.01'!$C$5+((A24-1)*'Árlista 2025.01.01'!$C$6)+'Árlista 2025.01.01'!$C$8</f>
        <v>1535</v>
      </c>
      <c r="J24" s="113">
        <f t="shared" si="5"/>
        <v>297.79464285714289</v>
      </c>
      <c r="K24" s="113">
        <f t="shared" si="6"/>
        <v>297794.6428571429</v>
      </c>
      <c r="L24" s="114">
        <f t="shared" si="8"/>
        <v>3573535.7142857146</v>
      </c>
      <c r="M24" s="26"/>
      <c r="N24" s="16" t="s">
        <v>33</v>
      </c>
      <c r="O24" s="17"/>
      <c r="P24" s="83">
        <v>0</v>
      </c>
    </row>
    <row r="25" spans="1:16" ht="17.25" thickBot="1" x14ac:dyDescent="0.35">
      <c r="A25" s="53">
        <v>20</v>
      </c>
      <c r="B25" s="28">
        <f>(14+(5*A25))</f>
        <v>114</v>
      </c>
      <c r="C25" s="28">
        <f>'Árlista 2025.01.01'!$C$16</f>
        <v>815</v>
      </c>
      <c r="D25" s="28">
        <f t="shared" si="10"/>
        <v>309</v>
      </c>
      <c r="E25" s="28">
        <f t="shared" si="0"/>
        <v>300</v>
      </c>
      <c r="F25" s="29">
        <f t="shared" si="3"/>
        <v>432.79464285714289</v>
      </c>
      <c r="G25" s="29">
        <f t="shared" si="4"/>
        <v>0</v>
      </c>
      <c r="H25" s="29">
        <f t="shared" si="9"/>
        <v>1856.7946428571429</v>
      </c>
      <c r="I25" s="29">
        <f>'Árlista 2025.01.01'!$C$5+((A25-1)*'Árlista 2025.01.01'!$C$6)+'Árlista 2025.01.01'!$C$8</f>
        <v>1592</v>
      </c>
      <c r="J25" s="115">
        <f>H25-I25</f>
        <v>264.79464285714289</v>
      </c>
      <c r="K25" s="115">
        <f>(J25*$L$27)</f>
        <v>264794.6428571429</v>
      </c>
      <c r="L25" s="116">
        <f>(12*K25)</f>
        <v>3177535.7142857146</v>
      </c>
      <c r="M25" s="26"/>
      <c r="N25" s="16" t="s">
        <v>34</v>
      </c>
      <c r="O25" s="17"/>
      <c r="P25" s="18">
        <v>0</v>
      </c>
    </row>
    <row r="26" spans="1:16" ht="17.25" thickBot="1" x14ac:dyDescent="0.35">
      <c r="A26" s="9"/>
      <c r="B26" s="9"/>
      <c r="C26" s="30"/>
      <c r="D26" s="30"/>
      <c r="E26" s="30"/>
      <c r="F26" s="30"/>
      <c r="G26" s="30"/>
      <c r="H26" s="30"/>
      <c r="I26" s="30"/>
      <c r="J26" s="31"/>
      <c r="K26" s="32"/>
      <c r="L26" s="32"/>
      <c r="M26" s="9"/>
      <c r="N26" s="16" t="s">
        <v>35</v>
      </c>
      <c r="O26" s="17"/>
      <c r="P26" s="18">
        <v>0</v>
      </c>
    </row>
    <row r="27" spans="1:16" ht="17.25" thickBot="1" x14ac:dyDescent="0.35">
      <c r="A27" s="33" t="s">
        <v>36</v>
      </c>
      <c r="B27" s="34"/>
      <c r="C27" s="35"/>
      <c r="D27" s="35"/>
      <c r="E27" s="35"/>
      <c r="F27" s="33"/>
      <c r="G27" s="30"/>
      <c r="H27" s="30"/>
      <c r="I27" s="158" t="s">
        <v>37</v>
      </c>
      <c r="J27" s="159"/>
      <c r="K27" s="160"/>
      <c r="L27" s="36">
        <v>1000</v>
      </c>
      <c r="M27" s="9"/>
      <c r="N27" s="19" t="s">
        <v>27</v>
      </c>
      <c r="O27" s="20"/>
      <c r="P27" s="21">
        <f>SUM(P19:P26)</f>
        <v>0</v>
      </c>
    </row>
    <row r="28" spans="1:16" x14ac:dyDescent="0.3">
      <c r="A28" s="37" t="s">
        <v>38</v>
      </c>
      <c r="B28" s="96"/>
      <c r="C28" s="96"/>
      <c r="D28" s="96"/>
      <c r="E28" s="96"/>
      <c r="F28" s="97"/>
      <c r="G28" s="30"/>
      <c r="H28" s="30"/>
      <c r="I28" s="30"/>
      <c r="J28" s="31"/>
      <c r="K28" s="32"/>
      <c r="L28" s="32"/>
      <c r="M28" s="9"/>
      <c r="N28" s="9"/>
      <c r="O28" s="9"/>
      <c r="P28" s="9"/>
    </row>
    <row r="29" spans="1:16" x14ac:dyDescent="0.3">
      <c r="A29" s="9" t="s">
        <v>39</v>
      </c>
      <c r="B29" s="9"/>
      <c r="C29" s="30"/>
      <c r="D29" s="30"/>
      <c r="E29" s="30"/>
      <c r="F29" s="97"/>
      <c r="G29" s="30"/>
      <c r="H29" s="30"/>
      <c r="I29" s="30"/>
      <c r="J29" s="31"/>
      <c r="K29" s="32"/>
      <c r="L29" s="32"/>
      <c r="M29" s="9"/>
      <c r="N29" s="9"/>
      <c r="O29" s="9"/>
      <c r="P29" s="9"/>
    </row>
    <row r="30" spans="1:16" x14ac:dyDescent="0.3">
      <c r="A30" s="9" t="s">
        <v>40</v>
      </c>
      <c r="B30" s="9"/>
      <c r="C30" s="30"/>
      <c r="D30" s="30"/>
      <c r="E30" s="30"/>
      <c r="F30" s="97"/>
      <c r="G30" s="30"/>
      <c r="H30" s="30"/>
      <c r="I30" s="30"/>
      <c r="L30" s="32"/>
      <c r="M30" s="9"/>
      <c r="N30" s="9"/>
      <c r="O30" s="9"/>
      <c r="P30" s="9"/>
    </row>
    <row r="31" spans="1:16" x14ac:dyDescent="0.3">
      <c r="C31" s="79"/>
      <c r="D31" s="79"/>
      <c r="E31" s="79"/>
      <c r="F31" s="79"/>
      <c r="G31" s="79"/>
      <c r="H31" s="79"/>
      <c r="I31" s="79"/>
      <c r="L31" s="81"/>
    </row>
    <row r="32" spans="1:16" x14ac:dyDescent="0.3">
      <c r="A32" s="9" t="s">
        <v>41</v>
      </c>
      <c r="C32" s="79"/>
      <c r="D32" s="79"/>
      <c r="E32" s="79"/>
      <c r="F32" s="79"/>
      <c r="G32" s="79"/>
      <c r="H32" s="79"/>
      <c r="I32" s="79"/>
      <c r="L32" s="81"/>
    </row>
    <row r="33" spans="1:12" x14ac:dyDescent="0.3">
      <c r="A33" s="9" t="s">
        <v>42</v>
      </c>
      <c r="C33" s="79"/>
      <c r="D33" s="79"/>
      <c r="E33" s="79"/>
      <c r="F33" s="79"/>
      <c r="G33" s="79"/>
      <c r="H33" s="79"/>
      <c r="I33" s="79"/>
      <c r="J33" s="80"/>
      <c r="K33" s="81"/>
      <c r="L33" s="81"/>
    </row>
    <row r="34" spans="1:12" x14ac:dyDescent="0.3">
      <c r="A34" s="9" t="s">
        <v>43</v>
      </c>
      <c r="C34" s="79"/>
      <c r="D34" s="79"/>
      <c r="E34" s="79"/>
      <c r="F34" s="79"/>
      <c r="G34" s="79"/>
      <c r="H34" s="79"/>
      <c r="I34" s="79"/>
      <c r="J34" s="80"/>
      <c r="K34" s="81"/>
      <c r="L34" s="81"/>
    </row>
    <row r="35" spans="1:12" x14ac:dyDescent="0.3">
      <c r="A35" s="9" t="s">
        <v>77</v>
      </c>
      <c r="C35" s="79"/>
      <c r="D35" s="79"/>
      <c r="E35" s="79"/>
      <c r="F35" s="79"/>
      <c r="G35" s="79"/>
      <c r="H35" s="79"/>
      <c r="I35" s="79"/>
      <c r="J35" s="80"/>
      <c r="K35" s="81"/>
      <c r="L35" s="81"/>
    </row>
    <row r="36" spans="1:12" x14ac:dyDescent="0.3">
      <c r="A36" s="9"/>
      <c r="C36" s="79"/>
      <c r="D36" s="79"/>
      <c r="E36" s="79"/>
      <c r="F36" s="79"/>
      <c r="G36" s="79"/>
      <c r="H36" s="79"/>
      <c r="I36" s="79"/>
      <c r="J36" s="80"/>
      <c r="K36" s="81"/>
      <c r="L36" s="81"/>
    </row>
    <row r="37" spans="1:12" x14ac:dyDescent="0.3">
      <c r="A37" s="9" t="s">
        <v>76</v>
      </c>
      <c r="B37" s="9"/>
    </row>
    <row r="38" spans="1:12" x14ac:dyDescent="0.3">
      <c r="A38" s="9" t="s">
        <v>75</v>
      </c>
    </row>
  </sheetData>
  <mergeCells count="17">
    <mergeCell ref="N18:P18"/>
    <mergeCell ref="A4:B4"/>
    <mergeCell ref="C4:H4"/>
    <mergeCell ref="J4:L4"/>
    <mergeCell ref="N4:P4"/>
    <mergeCell ref="N10:P10"/>
    <mergeCell ref="N11:O11"/>
    <mergeCell ref="N12:O12"/>
    <mergeCell ref="N13:O13"/>
    <mergeCell ref="N14:O14"/>
    <mergeCell ref="N15:O15"/>
    <mergeCell ref="O16:P16"/>
    <mergeCell ref="N19:O20"/>
    <mergeCell ref="P19:P20"/>
    <mergeCell ref="N21:O22"/>
    <mergeCell ref="P21:P22"/>
    <mergeCell ref="I27:K27"/>
  </mergeCells>
  <conditionalFormatting sqref="J6:L25">
    <cfRule type="cellIs" dxfId="11" priority="1" operator="lessThan">
      <formula>0</formula>
    </cfRule>
    <cfRule type="cellIs" dxfId="10" priority="2" operator="greaterThanOrEqual">
      <formula>0</formula>
    </cfRule>
  </conditionalFormatting>
  <pageMargins left="0.25" right="0.25" top="0.75" bottom="0.75" header="0.3" footer="0.3"/>
  <pageSetup paperSize="9" scale="77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854F-888E-4470-A0DB-576252EF51A8}">
  <dimension ref="A3:P39"/>
  <sheetViews>
    <sheetView zoomScaleNormal="100" workbookViewId="0">
      <selection activeCell="L19" sqref="L19"/>
    </sheetView>
  </sheetViews>
  <sheetFormatPr defaultColWidth="9" defaultRowHeight="15" x14ac:dyDescent="0.3"/>
  <cols>
    <col min="1" max="1" width="10" style="73" customWidth="1"/>
    <col min="2" max="2" width="4.5703125" style="73" bestFit="1" customWidth="1"/>
    <col min="3" max="3" width="8.7109375" style="76" bestFit="1" customWidth="1"/>
    <col min="4" max="4" width="9.85546875" style="76" bestFit="1" customWidth="1"/>
    <col min="5" max="5" width="10.5703125" style="76" bestFit="1" customWidth="1"/>
    <col min="6" max="6" width="9.85546875" style="76" bestFit="1" customWidth="1"/>
    <col min="7" max="7" width="11" style="76" bestFit="1" customWidth="1"/>
    <col min="8" max="8" width="9" style="76" bestFit="1"/>
    <col min="9" max="9" width="11.140625" style="76" bestFit="1" customWidth="1"/>
    <col min="10" max="10" width="15" style="77" customWidth="1"/>
    <col min="11" max="11" width="16.140625" style="78" bestFit="1" customWidth="1"/>
    <col min="12" max="12" width="17.28515625" style="78" bestFit="1" customWidth="1"/>
    <col min="13" max="13" width="8.85546875" style="73" customWidth="1"/>
    <col min="14" max="14" width="19.42578125" style="73" customWidth="1"/>
    <col min="15" max="15" width="13" style="73" customWidth="1"/>
    <col min="16" max="16384" width="9" style="73"/>
  </cols>
  <sheetData>
    <row r="3" spans="1:16" ht="34.5" customHeight="1" thickBot="1" x14ac:dyDescent="0.35">
      <c r="A3" s="9"/>
      <c r="B3" s="9"/>
      <c r="C3" s="30"/>
      <c r="D3" s="30"/>
      <c r="E3" s="30"/>
      <c r="F3" s="30"/>
      <c r="G3" s="30"/>
      <c r="H3" s="30"/>
      <c r="I3" s="30"/>
      <c r="J3" s="31"/>
      <c r="K3" s="32"/>
      <c r="L3" s="32"/>
      <c r="M3" s="9"/>
      <c r="N3" s="9"/>
      <c r="O3" s="9"/>
      <c r="P3" s="9"/>
    </row>
    <row r="4" spans="1:16" ht="34.15" customHeight="1" thickBot="1" x14ac:dyDescent="0.35">
      <c r="A4" s="164" t="s">
        <v>44</v>
      </c>
      <c r="B4" s="186"/>
      <c r="C4" s="187" t="s">
        <v>1</v>
      </c>
      <c r="D4" s="188"/>
      <c r="E4" s="188"/>
      <c r="F4" s="188"/>
      <c r="G4" s="188"/>
      <c r="H4" s="186"/>
      <c r="I4" s="72" t="s">
        <v>2</v>
      </c>
      <c r="J4" s="189" t="s">
        <v>74</v>
      </c>
      <c r="K4" s="190"/>
      <c r="L4" s="191"/>
      <c r="M4" s="9"/>
      <c r="N4" s="192" t="s">
        <v>3</v>
      </c>
      <c r="O4" s="193"/>
      <c r="P4" s="194"/>
    </row>
    <row r="5" spans="1:16" ht="30.75" thickBot="1" x14ac:dyDescent="0.35">
      <c r="A5" s="75" t="s">
        <v>4</v>
      </c>
      <c r="B5" s="40" t="s">
        <v>5</v>
      </c>
      <c r="C5" s="45" t="s">
        <v>6</v>
      </c>
      <c r="D5" s="38" t="s">
        <v>7</v>
      </c>
      <c r="E5" s="38" t="s">
        <v>45</v>
      </c>
      <c r="F5" s="38" t="s">
        <v>9</v>
      </c>
      <c r="G5" s="39" t="s">
        <v>10</v>
      </c>
      <c r="H5" s="40" t="s">
        <v>11</v>
      </c>
      <c r="I5" s="54" t="s">
        <v>12</v>
      </c>
      <c r="J5" s="92" t="s">
        <v>13</v>
      </c>
      <c r="K5" s="46" t="s">
        <v>14</v>
      </c>
      <c r="L5" s="47" t="s">
        <v>15</v>
      </c>
      <c r="M5" s="9"/>
      <c r="N5" s="98" t="s">
        <v>16</v>
      </c>
      <c r="O5" s="2">
        <v>9</v>
      </c>
      <c r="P5" s="3" t="s">
        <v>17</v>
      </c>
    </row>
    <row r="6" spans="1:16" x14ac:dyDescent="0.3">
      <c r="A6" s="51">
        <v>1</v>
      </c>
      <c r="B6" s="24">
        <f>(5+(5*A6))</f>
        <v>10</v>
      </c>
      <c r="C6" s="24">
        <f>'Árlista 2025.01.01'!$C$15</f>
        <v>270</v>
      </c>
      <c r="D6" s="24">
        <f t="shared" ref="D6:D13" si="0">A6*$O$5+$O$6</f>
        <v>29</v>
      </c>
      <c r="E6" s="24">
        <f t="shared" ref="E6:E11" si="1">A6*$O$7</f>
        <v>35</v>
      </c>
      <c r="F6" s="25">
        <f t="shared" ref="F6:F11" si="2">(($O$16/10080)*$P$15)</f>
        <v>432.79464285714289</v>
      </c>
      <c r="G6" s="25">
        <f t="shared" ref="G6:G11" si="3">($P$25/$L$19)</f>
        <v>0</v>
      </c>
      <c r="H6" s="25">
        <f>SUM(C6:F6)</f>
        <v>766.79464285714289</v>
      </c>
      <c r="I6" s="143">
        <f>'Árlista 2025.01.01'!$C$5+((A6-1)*'Árlista 2025.01.01'!$C$6)+(A6*'Árlista 2025.01.01'!$C$7)</f>
        <v>380</v>
      </c>
      <c r="J6" s="117">
        <f>H6-I6</f>
        <v>386.79464285714289</v>
      </c>
      <c r="K6" s="117">
        <f>(J6*$L$19)</f>
        <v>386794.6428571429</v>
      </c>
      <c r="L6" s="117">
        <f>(12*K6)</f>
        <v>4641535.7142857146</v>
      </c>
      <c r="M6" s="26"/>
      <c r="N6" s="4" t="s">
        <v>46</v>
      </c>
      <c r="O6" s="2">
        <v>20</v>
      </c>
      <c r="P6" s="5" t="s">
        <v>17</v>
      </c>
    </row>
    <row r="7" spans="1:16" x14ac:dyDescent="0.3">
      <c r="A7" s="52">
        <v>2</v>
      </c>
      <c r="B7" s="23">
        <f t="shared" ref="B7:B11" si="4">(5+(5*A7))</f>
        <v>15</v>
      </c>
      <c r="C7" s="23">
        <f>'Árlista 2025.01.01'!$C$15</f>
        <v>270</v>
      </c>
      <c r="D7" s="23">
        <f t="shared" si="0"/>
        <v>38</v>
      </c>
      <c r="E7" s="23">
        <f t="shared" si="1"/>
        <v>70</v>
      </c>
      <c r="F7" s="27">
        <f t="shared" si="2"/>
        <v>432.79464285714289</v>
      </c>
      <c r="G7" s="27">
        <f t="shared" si="3"/>
        <v>0</v>
      </c>
      <c r="H7" s="27">
        <f>SUM(C7:F7)</f>
        <v>810.79464285714289</v>
      </c>
      <c r="I7" s="144">
        <f>'Árlista 2025.01.01'!$C$5+((A7-1)*'Árlista 2025.01.01'!$C$6)+(A7*'Árlista 2025.01.01'!$C$7)</f>
        <v>468</v>
      </c>
      <c r="J7" s="118">
        <f t="shared" ref="J7:J11" si="5">H7-I7</f>
        <v>342.79464285714289</v>
      </c>
      <c r="K7" s="118">
        <f t="shared" ref="K7:K11" si="6">(J7*$L$19)</f>
        <v>342794.6428571429</v>
      </c>
      <c r="L7" s="118">
        <f>(12*K7)</f>
        <v>4113535.7142857146</v>
      </c>
      <c r="M7" s="26"/>
      <c r="N7" s="4" t="s">
        <v>47</v>
      </c>
      <c r="O7" s="2">
        <v>35</v>
      </c>
      <c r="P7" s="5" t="s">
        <v>20</v>
      </c>
    </row>
    <row r="8" spans="1:16" ht="15.75" thickBot="1" x14ac:dyDescent="0.35">
      <c r="A8" s="52">
        <v>3</v>
      </c>
      <c r="B8" s="23">
        <f t="shared" si="4"/>
        <v>20</v>
      </c>
      <c r="C8" s="23">
        <f>'Árlista 2025.01.01'!$C$15</f>
        <v>270</v>
      </c>
      <c r="D8" s="23">
        <f t="shared" si="0"/>
        <v>47</v>
      </c>
      <c r="E8" s="23">
        <f t="shared" si="1"/>
        <v>105</v>
      </c>
      <c r="F8" s="27">
        <f t="shared" si="2"/>
        <v>432.79464285714289</v>
      </c>
      <c r="G8" s="27">
        <f t="shared" si="3"/>
        <v>0</v>
      </c>
      <c r="H8" s="27">
        <f>SUM(C8:F8)</f>
        <v>854.79464285714289</v>
      </c>
      <c r="I8" s="144">
        <f>'Árlista 2025.01.01'!$C$5+((A8-1)*'Árlista 2025.01.01'!$C$6)+(A8*'Árlista 2025.01.01'!$C$7)</f>
        <v>556</v>
      </c>
      <c r="J8" s="118">
        <f t="shared" si="5"/>
        <v>298.79464285714289</v>
      </c>
      <c r="K8" s="118">
        <f t="shared" si="6"/>
        <v>298794.6428571429</v>
      </c>
      <c r="L8" s="118">
        <f>(12*K8)</f>
        <v>3585535.7142857146</v>
      </c>
      <c r="M8" s="26"/>
      <c r="N8" s="6" t="s">
        <v>21</v>
      </c>
      <c r="O8" s="7">
        <v>129</v>
      </c>
      <c r="P8" s="8" t="s">
        <v>17</v>
      </c>
    </row>
    <row r="9" spans="1:16" ht="15.75" thickBot="1" x14ac:dyDescent="0.35">
      <c r="A9" s="52">
        <v>4</v>
      </c>
      <c r="B9" s="23">
        <f t="shared" si="4"/>
        <v>25</v>
      </c>
      <c r="C9" s="23">
        <f>'Árlista 2025.01.01'!$C$15</f>
        <v>270</v>
      </c>
      <c r="D9" s="23">
        <f t="shared" si="0"/>
        <v>56</v>
      </c>
      <c r="E9" s="23">
        <f t="shared" si="1"/>
        <v>140</v>
      </c>
      <c r="F9" s="27">
        <f t="shared" si="2"/>
        <v>432.79464285714289</v>
      </c>
      <c r="G9" s="27">
        <f t="shared" si="3"/>
        <v>0</v>
      </c>
      <c r="H9" s="27">
        <f>SUM(C9:F9)</f>
        <v>898.79464285714289</v>
      </c>
      <c r="I9" s="144">
        <f>'Árlista 2025.01.01'!$C$5+((A9-1)*'Árlista 2025.01.01'!$C$6)+(A9*'Árlista 2025.01.01'!$C$7)</f>
        <v>644</v>
      </c>
      <c r="J9" s="118">
        <f t="shared" si="5"/>
        <v>254.79464285714289</v>
      </c>
      <c r="K9" s="118">
        <f t="shared" si="6"/>
        <v>254794.6428571429</v>
      </c>
      <c r="L9" s="118">
        <f>(12*K9)</f>
        <v>3057535.7142857146</v>
      </c>
      <c r="M9" s="26"/>
      <c r="N9" s="9"/>
      <c r="O9" s="9"/>
      <c r="P9" s="9"/>
    </row>
    <row r="10" spans="1:16" x14ac:dyDescent="0.3">
      <c r="A10" s="52">
        <v>5</v>
      </c>
      <c r="B10" s="23">
        <f t="shared" si="4"/>
        <v>30</v>
      </c>
      <c r="C10" s="23">
        <f>'Árlista 2025.01.01'!$C$15</f>
        <v>270</v>
      </c>
      <c r="D10" s="23">
        <f t="shared" si="0"/>
        <v>65</v>
      </c>
      <c r="E10" s="23">
        <f t="shared" si="1"/>
        <v>175</v>
      </c>
      <c r="F10" s="27">
        <f t="shared" si="2"/>
        <v>432.79464285714289</v>
      </c>
      <c r="G10" s="27">
        <f t="shared" si="3"/>
        <v>0</v>
      </c>
      <c r="H10" s="27">
        <f t="shared" ref="H10:H11" si="7">SUM(C10:F10)</f>
        <v>942.79464285714289</v>
      </c>
      <c r="I10" s="144">
        <f>'Árlista 2025.01.01'!$C$5+((A10-1)*'Árlista 2025.01.01'!$C$6)+(A10*'Árlista 2025.01.01'!$C$7)</f>
        <v>732</v>
      </c>
      <c r="J10" s="118">
        <f t="shared" si="5"/>
        <v>210.79464285714289</v>
      </c>
      <c r="K10" s="118">
        <f t="shared" si="6"/>
        <v>210794.6428571429</v>
      </c>
      <c r="L10" s="118">
        <f t="shared" ref="L10:L11" si="8">(12*K10)</f>
        <v>2529535.7142857146</v>
      </c>
      <c r="M10" s="26"/>
      <c r="N10" s="173" t="s">
        <v>22</v>
      </c>
      <c r="O10" s="174"/>
      <c r="P10" s="175"/>
    </row>
    <row r="11" spans="1:16" x14ac:dyDescent="0.3">
      <c r="A11" s="52">
        <v>6</v>
      </c>
      <c r="B11" s="23">
        <f t="shared" si="4"/>
        <v>35</v>
      </c>
      <c r="C11" s="23">
        <f>'Árlista 2025.01.01'!$C$15</f>
        <v>270</v>
      </c>
      <c r="D11" s="23">
        <f t="shared" si="0"/>
        <v>74</v>
      </c>
      <c r="E11" s="23">
        <f t="shared" si="1"/>
        <v>210</v>
      </c>
      <c r="F11" s="27">
        <f t="shared" si="2"/>
        <v>432.79464285714289</v>
      </c>
      <c r="G11" s="27">
        <f t="shared" si="3"/>
        <v>0</v>
      </c>
      <c r="H11" s="27">
        <f t="shared" si="7"/>
        <v>986.79464285714289</v>
      </c>
      <c r="I11" s="144">
        <f>'Árlista 2025.01.01'!$C$5+((A11-1)*'Árlista 2025.01.01'!$C$6)+(A11*'Árlista 2025.01.01'!$C$7)</f>
        <v>820</v>
      </c>
      <c r="J11" s="118">
        <f t="shared" si="5"/>
        <v>166.79464285714289</v>
      </c>
      <c r="K11" s="118">
        <f t="shared" si="6"/>
        <v>166794.6428571429</v>
      </c>
      <c r="L11" s="118">
        <f t="shared" si="8"/>
        <v>2001535.7142857148</v>
      </c>
      <c r="M11" s="26"/>
      <c r="N11" s="176" t="s">
        <v>23</v>
      </c>
      <c r="O11" s="177"/>
      <c r="P11" s="10">
        <v>2</v>
      </c>
    </row>
    <row r="12" spans="1:16" x14ac:dyDescent="0.3">
      <c r="A12" s="52">
        <v>7</v>
      </c>
      <c r="B12" s="23">
        <f>(5+(5*A12))</f>
        <v>40</v>
      </c>
      <c r="C12" s="23">
        <f>'Árlista 2025.01.01'!$C$15</f>
        <v>270</v>
      </c>
      <c r="D12" s="23">
        <f t="shared" si="0"/>
        <v>83</v>
      </c>
      <c r="E12" s="23">
        <f t="shared" ref="E12:E17" si="9">A12*$O$7</f>
        <v>245</v>
      </c>
      <c r="F12" s="27">
        <f t="shared" ref="F12:F17" si="10">(($O$16/10080)*$P$15)</f>
        <v>432.79464285714289</v>
      </c>
      <c r="G12" s="27">
        <f t="shared" ref="G12:G17" si="11">($P$25/$L$19)</f>
        <v>0</v>
      </c>
      <c r="H12" s="27">
        <f t="shared" ref="H12:H17" si="12">SUM(C12:F12)</f>
        <v>1030.7946428571429</v>
      </c>
      <c r="I12" s="144">
        <f>'Árlista 2025.01.01'!$C$5+((A12-1)*'Árlista 2025.01.01'!$C$6)+(A12*'Árlista 2025.01.01'!$C$7)</f>
        <v>908</v>
      </c>
      <c r="J12" s="118">
        <f t="shared" ref="J12:J17" si="13">H12-I12</f>
        <v>122.79464285714289</v>
      </c>
      <c r="K12" s="118">
        <f t="shared" ref="K12:K17" si="14">(J12*$L$19)</f>
        <v>122794.64285714288</v>
      </c>
      <c r="L12" s="118">
        <f t="shared" ref="L12:L17" si="15">(12*K12)</f>
        <v>1473535.7142857146</v>
      </c>
      <c r="M12" s="26"/>
      <c r="N12" s="195" t="s">
        <v>24</v>
      </c>
      <c r="O12" s="196"/>
      <c r="P12" s="10">
        <v>1</v>
      </c>
    </row>
    <row r="13" spans="1:16" x14ac:dyDescent="0.3">
      <c r="A13" s="52">
        <v>8</v>
      </c>
      <c r="B13" s="23">
        <f>(5+(5*A13))</f>
        <v>45</v>
      </c>
      <c r="C13" s="23">
        <f>'Árlista 2025.01.01'!$C$15</f>
        <v>270</v>
      </c>
      <c r="D13" s="23">
        <f t="shared" si="0"/>
        <v>92</v>
      </c>
      <c r="E13" s="23">
        <f t="shared" si="9"/>
        <v>280</v>
      </c>
      <c r="F13" s="27">
        <f t="shared" si="10"/>
        <v>432.79464285714289</v>
      </c>
      <c r="G13" s="27">
        <f t="shared" si="11"/>
        <v>0</v>
      </c>
      <c r="H13" s="27">
        <f t="shared" si="12"/>
        <v>1074.7946428571429</v>
      </c>
      <c r="I13" s="144">
        <f>'Árlista 2025.01.01'!$C$5+((A13-1)*'Árlista 2025.01.01'!$C$6)+(A13*'Árlista 2025.01.01'!$C$7)</f>
        <v>996</v>
      </c>
      <c r="J13" s="118">
        <f t="shared" si="13"/>
        <v>78.79464285714289</v>
      </c>
      <c r="K13" s="118">
        <f t="shared" si="14"/>
        <v>78794.642857142884</v>
      </c>
      <c r="L13" s="118">
        <f t="shared" si="15"/>
        <v>945535.71428571455</v>
      </c>
      <c r="M13" s="26"/>
      <c r="N13" s="195" t="s">
        <v>25</v>
      </c>
      <c r="O13" s="196"/>
      <c r="P13" s="10">
        <v>3</v>
      </c>
    </row>
    <row r="14" spans="1:16" ht="15.75" thickBot="1" x14ac:dyDescent="0.35">
      <c r="A14" s="52">
        <v>9</v>
      </c>
      <c r="B14" s="23">
        <f>(14+(5*A14))</f>
        <v>59</v>
      </c>
      <c r="C14" s="23">
        <f>'Árlista 2025.01.01'!$C$16</f>
        <v>815</v>
      </c>
      <c r="D14" s="23">
        <f>A14*$O$5+$O$8</f>
        <v>210</v>
      </c>
      <c r="E14" s="23">
        <f t="shared" si="9"/>
        <v>315</v>
      </c>
      <c r="F14" s="27">
        <f t="shared" si="10"/>
        <v>432.79464285714289</v>
      </c>
      <c r="G14" s="27">
        <f t="shared" si="11"/>
        <v>0</v>
      </c>
      <c r="H14" s="27">
        <f t="shared" si="12"/>
        <v>1772.7946428571429</v>
      </c>
      <c r="I14" s="144">
        <f>'Árlista 2025.01.01'!$C$5+((A14-1)*'Árlista 2025.01.01'!$C$6)+(A14*'Árlista 2025.01.01'!$C$7)+'Árlista 2025.01.01'!$C$8</f>
        <v>1244</v>
      </c>
      <c r="J14" s="118">
        <f t="shared" si="13"/>
        <v>528.79464285714289</v>
      </c>
      <c r="K14" s="118">
        <f t="shared" si="14"/>
        <v>528794.64285714284</v>
      </c>
      <c r="L14" s="118">
        <f t="shared" si="15"/>
        <v>6345535.7142857146</v>
      </c>
      <c r="M14" s="26"/>
      <c r="N14" s="197" t="s">
        <v>26</v>
      </c>
      <c r="O14" s="198"/>
      <c r="P14" s="95">
        <v>3</v>
      </c>
    </row>
    <row r="15" spans="1:16" ht="15.75" thickBot="1" x14ac:dyDescent="0.35">
      <c r="A15" s="52">
        <v>10</v>
      </c>
      <c r="B15" s="23">
        <f t="shared" ref="B15:B17" si="16">(14+(5*A15))</f>
        <v>64</v>
      </c>
      <c r="C15" s="23">
        <f>'Árlista 2025.01.01'!$C$16</f>
        <v>815</v>
      </c>
      <c r="D15" s="23">
        <f t="shared" ref="D15:D17" si="17">A15*$O$5+$O$8</f>
        <v>219</v>
      </c>
      <c r="E15" s="23">
        <f t="shared" si="9"/>
        <v>350</v>
      </c>
      <c r="F15" s="27">
        <f t="shared" si="10"/>
        <v>432.79464285714289</v>
      </c>
      <c r="G15" s="27">
        <f t="shared" si="11"/>
        <v>0</v>
      </c>
      <c r="H15" s="27">
        <f t="shared" si="12"/>
        <v>1816.7946428571429</v>
      </c>
      <c r="I15" s="144">
        <f>'Árlista 2025.01.01'!$C$5+((A15-1)*'Árlista 2025.01.01'!$C$6)+(A15*'Árlista 2025.01.01'!$C$7)+'Árlista 2025.01.01'!$C$8</f>
        <v>1332</v>
      </c>
      <c r="J15" s="118">
        <f t="shared" si="13"/>
        <v>484.79464285714289</v>
      </c>
      <c r="K15" s="118">
        <f t="shared" si="14"/>
        <v>484794.6428571429</v>
      </c>
      <c r="L15" s="118">
        <f t="shared" si="15"/>
        <v>5817535.7142857146</v>
      </c>
      <c r="M15" s="26"/>
      <c r="N15" s="199" t="s">
        <v>27</v>
      </c>
      <c r="O15" s="200"/>
      <c r="P15" s="11">
        <f>SUM(P11:P14)</f>
        <v>9</v>
      </c>
    </row>
    <row r="16" spans="1:16" ht="15.75" thickBot="1" x14ac:dyDescent="0.35">
      <c r="A16" s="52">
        <v>11</v>
      </c>
      <c r="B16" s="23">
        <f t="shared" si="16"/>
        <v>69</v>
      </c>
      <c r="C16" s="23">
        <f>'Árlista 2025.01.01'!$C$16</f>
        <v>815</v>
      </c>
      <c r="D16" s="23">
        <f t="shared" si="17"/>
        <v>228</v>
      </c>
      <c r="E16" s="23">
        <f t="shared" si="9"/>
        <v>385</v>
      </c>
      <c r="F16" s="27">
        <f t="shared" si="10"/>
        <v>432.79464285714289</v>
      </c>
      <c r="G16" s="27">
        <f t="shared" si="11"/>
        <v>0</v>
      </c>
      <c r="H16" s="27">
        <f t="shared" si="12"/>
        <v>1860.7946428571429</v>
      </c>
      <c r="I16" s="144">
        <f>'Árlista 2025.01.01'!$C$5+((A16-1)*'Árlista 2025.01.01'!$C$6)+(A16*'Árlista 2025.01.01'!$C$7)+'Árlista 2025.01.01'!$C$8</f>
        <v>1420</v>
      </c>
      <c r="J16" s="118">
        <f t="shared" si="13"/>
        <v>440.79464285714289</v>
      </c>
      <c r="K16" s="118">
        <f t="shared" si="14"/>
        <v>440794.6428571429</v>
      </c>
      <c r="L16" s="118">
        <f t="shared" si="15"/>
        <v>5289535.7142857146</v>
      </c>
      <c r="M16" s="26"/>
      <c r="N16" s="12" t="s">
        <v>28</v>
      </c>
      <c r="O16" s="184">
        <v>484730</v>
      </c>
      <c r="P16" s="185"/>
    </row>
    <row r="17" spans="1:16" ht="15.75" thickBot="1" x14ac:dyDescent="0.35">
      <c r="A17" s="53">
        <v>12</v>
      </c>
      <c r="B17" s="28">
        <f t="shared" si="16"/>
        <v>74</v>
      </c>
      <c r="C17" s="28">
        <f>'Árlista 2025.01.01'!$C$16</f>
        <v>815</v>
      </c>
      <c r="D17" s="28">
        <f t="shared" si="17"/>
        <v>237</v>
      </c>
      <c r="E17" s="28">
        <f t="shared" si="9"/>
        <v>420</v>
      </c>
      <c r="F17" s="29">
        <f t="shared" si="10"/>
        <v>432.79464285714289</v>
      </c>
      <c r="G17" s="29">
        <f t="shared" si="11"/>
        <v>0</v>
      </c>
      <c r="H17" s="29">
        <f t="shared" si="12"/>
        <v>1904.7946428571429</v>
      </c>
      <c r="I17" s="145">
        <f>'Árlista 2025.01.01'!$C$5+((A17-1)*'Árlista 2025.01.01'!$C$6)+(A17*'Árlista 2025.01.01'!$C$7)+'Árlista 2025.01.01'!$C$8</f>
        <v>1508</v>
      </c>
      <c r="J17" s="119">
        <f t="shared" si="13"/>
        <v>396.79464285714289</v>
      </c>
      <c r="K17" s="119">
        <f t="shared" si="14"/>
        <v>396794.6428571429</v>
      </c>
      <c r="L17" s="119">
        <f t="shared" si="15"/>
        <v>4761535.7142857146</v>
      </c>
      <c r="M17" s="26"/>
      <c r="N17" s="96"/>
      <c r="O17" s="96"/>
      <c r="P17" s="100"/>
    </row>
    <row r="18" spans="1:16" ht="15.75" thickBot="1" x14ac:dyDescent="0.35">
      <c r="A18" s="30"/>
      <c r="B18" s="30"/>
      <c r="C18" s="30"/>
      <c r="D18" s="30"/>
      <c r="E18" s="30"/>
      <c r="F18" s="97"/>
      <c r="G18" s="97"/>
      <c r="H18" s="97"/>
      <c r="I18" s="97"/>
      <c r="J18" s="99"/>
      <c r="K18" s="99"/>
      <c r="L18" s="99"/>
      <c r="M18" s="26"/>
      <c r="N18" s="161" t="s">
        <v>29</v>
      </c>
      <c r="O18" s="162"/>
      <c r="P18" s="163"/>
    </row>
    <row r="19" spans="1:16" ht="16.5" customHeight="1" thickBot="1" x14ac:dyDescent="0.35">
      <c r="A19" s="9"/>
      <c r="B19" s="9"/>
      <c r="C19" s="30"/>
      <c r="D19" s="30"/>
      <c r="E19" s="30"/>
      <c r="F19" s="30"/>
      <c r="G19" s="30"/>
      <c r="H19" s="30"/>
      <c r="I19" s="100"/>
      <c r="J19" s="146" t="s">
        <v>37</v>
      </c>
      <c r="K19" s="89"/>
      <c r="L19" s="147">
        <v>1000</v>
      </c>
      <c r="M19" s="26"/>
      <c r="N19" s="149" t="s">
        <v>30</v>
      </c>
      <c r="O19" s="150"/>
      <c r="P19" s="153">
        <v>0</v>
      </c>
    </row>
    <row r="20" spans="1:16" ht="30" customHeight="1" x14ac:dyDescent="0.3">
      <c r="A20" s="148" t="s">
        <v>36</v>
      </c>
      <c r="B20" s="34"/>
      <c r="C20" s="35"/>
      <c r="D20" s="35"/>
      <c r="E20" s="35"/>
      <c r="F20" s="33"/>
      <c r="G20" s="30"/>
      <c r="H20" s="30"/>
      <c r="I20" s="30"/>
      <c r="J20" s="31"/>
      <c r="K20" s="32"/>
      <c r="L20" s="32"/>
      <c r="M20" s="26"/>
      <c r="N20" s="151"/>
      <c r="O20" s="152"/>
      <c r="P20" s="154"/>
    </row>
    <row r="21" spans="1:16" x14ac:dyDescent="0.3">
      <c r="A21" s="37" t="s">
        <v>38</v>
      </c>
      <c r="B21" s="37"/>
      <c r="C21" s="30"/>
      <c r="D21" s="30"/>
      <c r="E21" s="30"/>
      <c r="F21" s="30"/>
      <c r="G21" s="30"/>
      <c r="H21" s="30"/>
      <c r="I21" s="30"/>
      <c r="J21" s="31"/>
      <c r="K21" s="32"/>
      <c r="L21" s="32"/>
      <c r="M21" s="26"/>
      <c r="N21" s="155" t="s">
        <v>31</v>
      </c>
      <c r="O21" s="156"/>
      <c r="P21" s="157">
        <v>0</v>
      </c>
    </row>
    <row r="22" spans="1:16" x14ac:dyDescent="0.3">
      <c r="A22" s="9" t="s">
        <v>39</v>
      </c>
      <c r="B22" s="9"/>
      <c r="C22" s="30"/>
      <c r="D22" s="30"/>
      <c r="E22" s="30"/>
      <c r="F22" s="30"/>
      <c r="G22" s="30"/>
      <c r="H22" s="30"/>
      <c r="I22" s="30"/>
      <c r="J22" s="31"/>
      <c r="K22" s="32"/>
      <c r="L22" s="32"/>
      <c r="M22" s="9"/>
      <c r="N22" s="155"/>
      <c r="O22" s="156"/>
      <c r="P22" s="157"/>
    </row>
    <row r="23" spans="1:16" x14ac:dyDescent="0.3">
      <c r="A23" s="9" t="s">
        <v>40</v>
      </c>
      <c r="B23" s="9"/>
      <c r="C23" s="30"/>
      <c r="D23" s="30"/>
      <c r="E23" s="30"/>
      <c r="F23" s="30"/>
      <c r="G23" s="30"/>
      <c r="H23" s="30"/>
      <c r="I23" s="30"/>
      <c r="J23" s="31"/>
      <c r="K23" s="32"/>
      <c r="L23" s="32"/>
      <c r="M23" s="9"/>
      <c r="N23" s="13" t="s">
        <v>32</v>
      </c>
      <c r="O23" s="14"/>
      <c r="P23" s="15">
        <v>0</v>
      </c>
    </row>
    <row r="24" spans="1:16" ht="16.5" x14ac:dyDescent="0.3">
      <c r="A24" s="74"/>
      <c r="B24" s="9"/>
      <c r="C24" s="30"/>
      <c r="D24" s="30"/>
      <c r="E24" s="30"/>
      <c r="F24" s="30"/>
      <c r="G24" s="30"/>
      <c r="H24" s="30"/>
      <c r="I24" s="30"/>
      <c r="J24" s="31"/>
      <c r="K24" s="32"/>
      <c r="L24" s="32"/>
      <c r="M24" s="9"/>
      <c r="N24" s="16" t="s">
        <v>33</v>
      </c>
      <c r="O24" s="17"/>
      <c r="P24" s="83">
        <v>0</v>
      </c>
    </row>
    <row r="25" spans="1:16" ht="15.6" customHeight="1" x14ac:dyDescent="0.3">
      <c r="A25" s="9" t="s">
        <v>41</v>
      </c>
      <c r="B25" s="9"/>
      <c r="C25" s="30"/>
      <c r="D25" s="30"/>
      <c r="E25" s="30"/>
      <c r="F25" s="30"/>
      <c r="G25" s="30"/>
      <c r="H25" s="30"/>
      <c r="I25" s="30"/>
      <c r="J25" s="31"/>
      <c r="K25" s="32"/>
      <c r="L25" s="32"/>
      <c r="M25" s="9"/>
      <c r="N25" s="16" t="s">
        <v>34</v>
      </c>
      <c r="O25" s="17"/>
      <c r="P25" s="18">
        <v>0</v>
      </c>
    </row>
    <row r="26" spans="1:16" x14ac:dyDescent="0.3">
      <c r="A26" s="9" t="s">
        <v>42</v>
      </c>
      <c r="B26" s="9"/>
      <c r="C26" s="30"/>
      <c r="D26" s="30"/>
      <c r="E26" s="30"/>
      <c r="F26" s="30"/>
      <c r="G26" s="30"/>
      <c r="H26" s="30"/>
      <c r="I26" s="30"/>
      <c r="J26" s="31"/>
      <c r="K26" s="32"/>
      <c r="L26" s="32"/>
      <c r="M26" s="9"/>
      <c r="N26" s="16" t="s">
        <v>35</v>
      </c>
      <c r="O26" s="17"/>
      <c r="P26" s="18">
        <v>0</v>
      </c>
    </row>
    <row r="27" spans="1:16" ht="15.6" customHeight="1" thickBot="1" x14ac:dyDescent="0.35">
      <c r="A27" s="9" t="s">
        <v>43</v>
      </c>
      <c r="B27" s="9"/>
      <c r="C27" s="30"/>
      <c r="D27" s="30"/>
      <c r="E27" s="30"/>
      <c r="F27" s="30"/>
      <c r="G27" s="30"/>
      <c r="H27" s="30"/>
      <c r="I27" s="30"/>
      <c r="J27" s="31"/>
      <c r="K27" s="32"/>
      <c r="L27" s="32"/>
      <c r="M27" s="9"/>
      <c r="N27" s="19" t="s">
        <v>27</v>
      </c>
      <c r="O27" s="20"/>
      <c r="P27" s="21">
        <f>SUM(P19:P26)</f>
        <v>0</v>
      </c>
    </row>
    <row r="28" spans="1:16" x14ac:dyDescent="0.3">
      <c r="A28" s="9" t="s">
        <v>77</v>
      </c>
      <c r="B28" s="9"/>
      <c r="C28" s="30"/>
      <c r="D28" s="30"/>
      <c r="E28" s="30"/>
      <c r="F28" s="30"/>
      <c r="G28" s="30"/>
      <c r="H28" s="30"/>
      <c r="I28" s="30"/>
      <c r="J28" s="31"/>
      <c r="K28" s="32"/>
      <c r="L28" s="32"/>
      <c r="M28" s="9"/>
    </row>
    <row r="29" spans="1:16" x14ac:dyDescent="0.3">
      <c r="A29" s="9"/>
      <c r="B29" s="9"/>
      <c r="C29" s="30"/>
      <c r="D29" s="30"/>
      <c r="E29" s="30"/>
      <c r="F29" s="30"/>
      <c r="G29" s="30"/>
      <c r="H29" s="30"/>
      <c r="I29" s="30"/>
      <c r="J29" s="31"/>
      <c r="K29" s="32"/>
      <c r="L29" s="32"/>
      <c r="M29" s="9"/>
    </row>
    <row r="30" spans="1:16" x14ac:dyDescent="0.3">
      <c r="A30" s="9" t="s">
        <v>76</v>
      </c>
      <c r="B30" s="9"/>
      <c r="C30" s="30"/>
      <c r="D30" s="30"/>
      <c r="E30" s="30"/>
      <c r="F30" s="30"/>
      <c r="G30" s="30"/>
      <c r="H30" s="30"/>
      <c r="I30" s="30"/>
      <c r="J30" s="31"/>
      <c r="K30" s="32"/>
      <c r="L30" s="32"/>
      <c r="M30" s="9"/>
    </row>
    <row r="31" spans="1:16" x14ac:dyDescent="0.3">
      <c r="A31" s="9" t="s">
        <v>75</v>
      </c>
      <c r="B31" s="9"/>
      <c r="C31" s="30"/>
      <c r="D31" s="30"/>
      <c r="E31" s="30"/>
      <c r="F31" s="30"/>
      <c r="G31" s="30"/>
      <c r="H31" s="30"/>
      <c r="I31" s="30"/>
      <c r="J31" s="31"/>
      <c r="K31" s="32"/>
      <c r="L31" s="32"/>
      <c r="M31" s="9"/>
    </row>
    <row r="32" spans="1:16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6" x14ac:dyDescent="0.3">
      <c r="A33" s="9"/>
      <c r="B33" s="9"/>
      <c r="C33" s="30"/>
      <c r="D33" s="30"/>
      <c r="E33" s="30"/>
      <c r="F33" s="30"/>
      <c r="G33" s="30"/>
      <c r="H33" s="30"/>
      <c r="I33" s="30"/>
      <c r="J33" s="31"/>
      <c r="K33" s="32"/>
      <c r="L33" s="32"/>
      <c r="M33" s="9"/>
    </row>
    <row r="36" spans="1:16" x14ac:dyDescent="0.3">
      <c r="N36" s="9"/>
      <c r="O36" s="9"/>
      <c r="P36" s="9"/>
    </row>
    <row r="38" spans="1:16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6" x14ac:dyDescent="0.3">
      <c r="C39" s="73"/>
      <c r="D39" s="73"/>
      <c r="E39" s="73"/>
      <c r="F39" s="73"/>
      <c r="G39" s="73"/>
      <c r="H39" s="73"/>
      <c r="I39" s="73"/>
      <c r="J39" s="73"/>
      <c r="K39" s="73"/>
      <c r="L39" s="73"/>
    </row>
  </sheetData>
  <mergeCells count="16">
    <mergeCell ref="N21:O22"/>
    <mergeCell ref="P21:P22"/>
    <mergeCell ref="O16:P16"/>
    <mergeCell ref="A4:B4"/>
    <mergeCell ref="C4:H4"/>
    <mergeCell ref="J4:L4"/>
    <mergeCell ref="N4:P4"/>
    <mergeCell ref="N10:P10"/>
    <mergeCell ref="N11:O11"/>
    <mergeCell ref="N12:O12"/>
    <mergeCell ref="N13:O13"/>
    <mergeCell ref="N14:O14"/>
    <mergeCell ref="N15:O15"/>
    <mergeCell ref="N18:P18"/>
    <mergeCell ref="N19:O20"/>
    <mergeCell ref="P19:P20"/>
  </mergeCells>
  <conditionalFormatting sqref="J6:L18">
    <cfRule type="cellIs" dxfId="9" priority="1" operator="lessThan">
      <formula>0</formula>
    </cfRule>
    <cfRule type="cellIs" dxfId="8" priority="2" operator="greaterThan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740F-1505-4E23-95E8-0FECB990B2A4}">
  <dimension ref="A3:P40"/>
  <sheetViews>
    <sheetView zoomScaleNormal="100" workbookViewId="0">
      <selection activeCell="L28" sqref="L28"/>
    </sheetView>
  </sheetViews>
  <sheetFormatPr defaultColWidth="9" defaultRowHeight="15" x14ac:dyDescent="0.3"/>
  <cols>
    <col min="1" max="1" width="10.28515625" style="73" customWidth="1"/>
    <col min="2" max="2" width="4.7109375" style="73" bestFit="1" customWidth="1"/>
    <col min="3" max="3" width="12.140625" style="76" bestFit="1" customWidth="1"/>
    <col min="4" max="4" width="10" style="76" bestFit="1" customWidth="1"/>
    <col min="5" max="5" width="10.7109375" style="76" bestFit="1" customWidth="1"/>
    <col min="6" max="6" width="10" style="76" bestFit="1" customWidth="1"/>
    <col min="7" max="7" width="11.140625" style="76" bestFit="1" customWidth="1"/>
    <col min="8" max="8" width="9.140625" style="76" bestFit="1" customWidth="1"/>
    <col min="9" max="9" width="11.28515625" style="76" bestFit="1" customWidth="1"/>
    <col min="10" max="10" width="18.28515625" style="77" customWidth="1"/>
    <col min="11" max="12" width="18.28515625" style="78" customWidth="1"/>
    <col min="13" max="13" width="5" style="73" customWidth="1"/>
    <col min="14" max="14" width="18.85546875" style="73" customWidth="1"/>
    <col min="15" max="15" width="17.5703125" style="73" customWidth="1"/>
    <col min="16" max="16" width="9.28515625" style="73" bestFit="1" customWidth="1"/>
    <col min="17" max="16384" width="9" style="73"/>
  </cols>
  <sheetData>
    <row r="3" spans="1:16" ht="21.6" customHeight="1" thickBot="1" x14ac:dyDescent="0.35">
      <c r="A3" s="9"/>
      <c r="B3" s="9"/>
      <c r="C3" s="30"/>
      <c r="D3" s="30"/>
      <c r="E3" s="30"/>
      <c r="F3" s="30"/>
      <c r="G3" s="30"/>
      <c r="H3" s="30"/>
      <c r="I3" s="30"/>
      <c r="J3" s="31"/>
      <c r="K3" s="32"/>
      <c r="L3" s="32"/>
      <c r="M3" s="9"/>
      <c r="N3" s="9"/>
      <c r="O3" s="9"/>
      <c r="P3" s="9"/>
    </row>
    <row r="4" spans="1:16" ht="33.6" customHeight="1" thickBot="1" x14ac:dyDescent="0.35">
      <c r="A4" s="164" t="s">
        <v>48</v>
      </c>
      <c r="B4" s="165"/>
      <c r="C4" s="166" t="s">
        <v>1</v>
      </c>
      <c r="D4" s="167"/>
      <c r="E4" s="167"/>
      <c r="F4" s="167"/>
      <c r="G4" s="168"/>
      <c r="H4" s="169"/>
      <c r="I4" s="72" t="s">
        <v>2</v>
      </c>
      <c r="J4" s="201" t="s">
        <v>74</v>
      </c>
      <c r="K4" s="202"/>
      <c r="L4" s="203"/>
      <c r="M4" s="9"/>
      <c r="N4" s="173" t="s">
        <v>3</v>
      </c>
      <c r="O4" s="174"/>
      <c r="P4" s="175"/>
    </row>
    <row r="5" spans="1:16" ht="30.75" thickBot="1" x14ac:dyDescent="0.35">
      <c r="A5" s="101" t="s">
        <v>4</v>
      </c>
      <c r="B5" s="102" t="s">
        <v>5</v>
      </c>
      <c r="C5" s="101" t="s">
        <v>49</v>
      </c>
      <c r="D5" s="38" t="s">
        <v>7</v>
      </c>
      <c r="E5" s="38" t="s">
        <v>8</v>
      </c>
      <c r="F5" s="38" t="s">
        <v>9</v>
      </c>
      <c r="G5" s="39" t="s">
        <v>10</v>
      </c>
      <c r="H5" s="40" t="s">
        <v>11</v>
      </c>
      <c r="I5" s="54" t="s">
        <v>12</v>
      </c>
      <c r="J5" s="103" t="s">
        <v>13</v>
      </c>
      <c r="K5" s="104" t="s">
        <v>14</v>
      </c>
      <c r="L5" s="105" t="s">
        <v>15</v>
      </c>
      <c r="M5" s="9"/>
      <c r="N5" s="93" t="s">
        <v>16</v>
      </c>
      <c r="O5" s="2">
        <v>9</v>
      </c>
      <c r="P5" s="3" t="s">
        <v>17</v>
      </c>
    </row>
    <row r="6" spans="1:16" x14ac:dyDescent="0.3">
      <c r="A6" s="51">
        <v>1</v>
      </c>
      <c r="B6" s="24">
        <f>(5+(5*A6))</f>
        <v>10</v>
      </c>
      <c r="C6" s="24">
        <f>'Árlista 2025.01.01'!$C$17</f>
        <v>390</v>
      </c>
      <c r="D6" s="24">
        <f t="shared" ref="D6:D11" si="0">A6*$O$5+$O$6</f>
        <v>29</v>
      </c>
      <c r="E6" s="24">
        <f t="shared" ref="E6:E15" si="1">A6*$O$7</f>
        <v>15</v>
      </c>
      <c r="F6" s="25">
        <f>(($O$16/10080)*$P$15)</f>
        <v>432.79464285714289</v>
      </c>
      <c r="G6" s="25">
        <f t="shared" ref="G6:G15" si="2">($P$27/$L$28)</f>
        <v>0</v>
      </c>
      <c r="H6" s="25">
        <f>SUM(C6:G6)</f>
        <v>866.79464285714289</v>
      </c>
      <c r="I6" s="41">
        <f>'Árlista 2025.01.01'!$C$5+('Árlista 2025.01.01'!$C$6*('Elsőbbségi Feladás'!A6-1)+'Árlista 2025.01.01'!$C$9)</f>
        <v>509</v>
      </c>
      <c r="J6" s="120">
        <f t="shared" ref="J6:J15" si="3">H6-I6</f>
        <v>357.79464285714289</v>
      </c>
      <c r="K6" s="121">
        <f t="shared" ref="K6:K15" si="4">(J6*$L$28)</f>
        <v>357794.6428571429</v>
      </c>
      <c r="L6" s="122">
        <f>(12*K6)</f>
        <v>4293535.7142857146</v>
      </c>
      <c r="M6" s="26"/>
      <c r="N6" s="93" t="s">
        <v>18</v>
      </c>
      <c r="O6" s="2">
        <v>20</v>
      </c>
      <c r="P6" s="5" t="s">
        <v>17</v>
      </c>
    </row>
    <row r="7" spans="1:16" x14ac:dyDescent="0.3">
      <c r="A7" s="52">
        <v>2</v>
      </c>
      <c r="B7" s="23">
        <f t="shared" ref="B7:B11" si="5">(5+(5*A7))</f>
        <v>15</v>
      </c>
      <c r="C7" s="23">
        <f>'Árlista 2025.01.01'!$C$17</f>
        <v>390</v>
      </c>
      <c r="D7" s="23">
        <f t="shared" si="0"/>
        <v>38</v>
      </c>
      <c r="E7" s="23">
        <f t="shared" si="1"/>
        <v>30</v>
      </c>
      <c r="F7" s="27">
        <f t="shared" ref="F7:F25" si="6">(($O$16/10080)*$P$15)</f>
        <v>432.79464285714289</v>
      </c>
      <c r="G7" s="27">
        <f t="shared" si="2"/>
        <v>0</v>
      </c>
      <c r="H7" s="27">
        <f t="shared" ref="H7:H14" si="7">SUM(C7:G7)</f>
        <v>890.79464285714289</v>
      </c>
      <c r="I7" s="42">
        <f>'Árlista 2025.01.01'!$C$5+('Árlista 2025.01.01'!$C$6*('Elsőbbségi Feladás'!A7-1)+'Árlista 2025.01.01'!$C$9)</f>
        <v>566</v>
      </c>
      <c r="J7" s="123">
        <f t="shared" si="3"/>
        <v>324.79464285714289</v>
      </c>
      <c r="K7" s="124">
        <f t="shared" si="4"/>
        <v>324794.6428571429</v>
      </c>
      <c r="L7" s="125">
        <f t="shared" ref="L7:L15" si="8">(12*K7)</f>
        <v>3897535.7142857146</v>
      </c>
      <c r="M7" s="26"/>
      <c r="N7" s="93" t="s">
        <v>19</v>
      </c>
      <c r="O7" s="2">
        <v>15</v>
      </c>
      <c r="P7" s="5" t="s">
        <v>20</v>
      </c>
    </row>
    <row r="8" spans="1:16" ht="15.75" thickBot="1" x14ac:dyDescent="0.35">
      <c r="A8" s="52">
        <v>3</v>
      </c>
      <c r="B8" s="23">
        <f t="shared" si="5"/>
        <v>20</v>
      </c>
      <c r="C8" s="23">
        <f>'Árlista 2025.01.01'!$C$17</f>
        <v>390</v>
      </c>
      <c r="D8" s="23">
        <f t="shared" si="0"/>
        <v>47</v>
      </c>
      <c r="E8" s="23">
        <f t="shared" si="1"/>
        <v>45</v>
      </c>
      <c r="F8" s="27">
        <f t="shared" si="6"/>
        <v>432.79464285714289</v>
      </c>
      <c r="G8" s="27">
        <f t="shared" si="2"/>
        <v>0</v>
      </c>
      <c r="H8" s="27">
        <f t="shared" si="7"/>
        <v>914.79464285714289</v>
      </c>
      <c r="I8" s="42">
        <f>'Árlista 2025.01.01'!$C$5+('Árlista 2025.01.01'!$C$6*('Elsőbbségi Feladás'!A8-1)+'Árlista 2025.01.01'!$C$9)</f>
        <v>623</v>
      </c>
      <c r="J8" s="123">
        <f t="shared" si="3"/>
        <v>291.79464285714289</v>
      </c>
      <c r="K8" s="124">
        <f t="shared" si="4"/>
        <v>291794.6428571429</v>
      </c>
      <c r="L8" s="125">
        <f t="shared" si="8"/>
        <v>3501535.7142857146</v>
      </c>
      <c r="M8" s="26"/>
      <c r="N8" s="94" t="s">
        <v>21</v>
      </c>
      <c r="O8" s="7">
        <v>129</v>
      </c>
      <c r="P8" s="8" t="s">
        <v>17</v>
      </c>
    </row>
    <row r="9" spans="1:16" ht="15.75" thickBot="1" x14ac:dyDescent="0.35">
      <c r="A9" s="52">
        <v>4</v>
      </c>
      <c r="B9" s="23">
        <f t="shared" si="5"/>
        <v>25</v>
      </c>
      <c r="C9" s="23">
        <f>'Árlista 2025.01.01'!$C$17</f>
        <v>390</v>
      </c>
      <c r="D9" s="23">
        <f t="shared" si="0"/>
        <v>56</v>
      </c>
      <c r="E9" s="23">
        <f t="shared" si="1"/>
        <v>60</v>
      </c>
      <c r="F9" s="27">
        <f t="shared" si="6"/>
        <v>432.79464285714289</v>
      </c>
      <c r="G9" s="27">
        <f t="shared" si="2"/>
        <v>0</v>
      </c>
      <c r="H9" s="27">
        <f t="shared" si="7"/>
        <v>938.79464285714289</v>
      </c>
      <c r="I9" s="42">
        <f>'Árlista 2025.01.01'!$C$5+('Árlista 2025.01.01'!$C$6*('Elsőbbségi Feladás'!A9-1)+'Árlista 2025.01.01'!$C$9)</f>
        <v>680</v>
      </c>
      <c r="J9" s="123">
        <f t="shared" si="3"/>
        <v>258.79464285714289</v>
      </c>
      <c r="K9" s="124">
        <f t="shared" si="4"/>
        <v>258794.6428571429</v>
      </c>
      <c r="L9" s="125">
        <f t="shared" si="8"/>
        <v>3105535.7142857146</v>
      </c>
      <c r="M9" s="26"/>
      <c r="N9" s="9"/>
      <c r="O9" s="9"/>
      <c r="P9" s="9"/>
    </row>
    <row r="10" spans="1:16" x14ac:dyDescent="0.3">
      <c r="A10" s="52">
        <v>5</v>
      </c>
      <c r="B10" s="23">
        <f t="shared" si="5"/>
        <v>30</v>
      </c>
      <c r="C10" s="23">
        <f>'Árlista 2025.01.01'!$C$17</f>
        <v>390</v>
      </c>
      <c r="D10" s="23">
        <f t="shared" si="0"/>
        <v>65</v>
      </c>
      <c r="E10" s="23">
        <f t="shared" si="1"/>
        <v>75</v>
      </c>
      <c r="F10" s="27">
        <f t="shared" si="6"/>
        <v>432.79464285714289</v>
      </c>
      <c r="G10" s="27">
        <f t="shared" si="2"/>
        <v>0</v>
      </c>
      <c r="H10" s="27">
        <f t="shared" si="7"/>
        <v>962.79464285714289</v>
      </c>
      <c r="I10" s="42">
        <f>'Árlista 2025.01.01'!$C$5+('Árlista 2025.01.01'!$C$6*('Elsőbbségi Feladás'!A10-1)+'Árlista 2025.01.01'!$C$9)</f>
        <v>737</v>
      </c>
      <c r="J10" s="123">
        <f t="shared" si="3"/>
        <v>225.79464285714289</v>
      </c>
      <c r="K10" s="124">
        <f t="shared" si="4"/>
        <v>225794.6428571429</v>
      </c>
      <c r="L10" s="125">
        <f t="shared" si="8"/>
        <v>2709535.7142857146</v>
      </c>
      <c r="M10" s="26"/>
      <c r="N10" s="173" t="s">
        <v>22</v>
      </c>
      <c r="O10" s="174"/>
      <c r="P10" s="175"/>
    </row>
    <row r="11" spans="1:16" x14ac:dyDescent="0.3">
      <c r="A11" s="52">
        <v>6</v>
      </c>
      <c r="B11" s="23">
        <f t="shared" si="5"/>
        <v>35</v>
      </c>
      <c r="C11" s="23">
        <f>'Árlista 2025.01.01'!$C$17</f>
        <v>390</v>
      </c>
      <c r="D11" s="23">
        <f t="shared" si="0"/>
        <v>74</v>
      </c>
      <c r="E11" s="23">
        <f t="shared" si="1"/>
        <v>90</v>
      </c>
      <c r="F11" s="27">
        <f t="shared" si="6"/>
        <v>432.79464285714289</v>
      </c>
      <c r="G11" s="27">
        <f t="shared" si="2"/>
        <v>0</v>
      </c>
      <c r="H11" s="27">
        <f t="shared" si="7"/>
        <v>986.79464285714289</v>
      </c>
      <c r="I11" s="42">
        <f>'Árlista 2025.01.01'!$C$5+('Árlista 2025.01.01'!$C$6*('Elsőbbségi Feladás'!A11-1)+'Árlista 2025.01.01'!$C$9)</f>
        <v>794</v>
      </c>
      <c r="J11" s="123">
        <f t="shared" si="3"/>
        <v>192.79464285714289</v>
      </c>
      <c r="K11" s="124">
        <f t="shared" si="4"/>
        <v>192794.6428571429</v>
      </c>
      <c r="L11" s="125">
        <f t="shared" si="8"/>
        <v>2313535.7142857146</v>
      </c>
      <c r="M11" s="26"/>
      <c r="N11" s="176" t="s">
        <v>23</v>
      </c>
      <c r="O11" s="177"/>
      <c r="P11" s="10">
        <v>2</v>
      </c>
    </row>
    <row r="12" spans="1:16" x14ac:dyDescent="0.3">
      <c r="A12" s="52">
        <v>7</v>
      </c>
      <c r="B12" s="23">
        <f>(5+(5*A12))</f>
        <v>40</v>
      </c>
      <c r="C12" s="23">
        <f>'Árlista 2025.01.01'!$C$17</f>
        <v>390</v>
      </c>
      <c r="D12" s="23">
        <f>A12*$O$5+$O$6</f>
        <v>83</v>
      </c>
      <c r="E12" s="23">
        <f t="shared" si="1"/>
        <v>105</v>
      </c>
      <c r="F12" s="27">
        <f t="shared" si="6"/>
        <v>432.79464285714289</v>
      </c>
      <c r="G12" s="27">
        <f t="shared" si="2"/>
        <v>0</v>
      </c>
      <c r="H12" s="27">
        <f t="shared" si="7"/>
        <v>1010.7946428571429</v>
      </c>
      <c r="I12" s="42">
        <f>'Árlista 2025.01.01'!$C$5+('Árlista 2025.01.01'!$C$6*('Elsőbbségi Feladás'!A12-1)+'Árlista 2025.01.01'!$C$9)</f>
        <v>851</v>
      </c>
      <c r="J12" s="123">
        <f t="shared" si="3"/>
        <v>159.79464285714289</v>
      </c>
      <c r="K12" s="124">
        <f t="shared" si="4"/>
        <v>159794.6428571429</v>
      </c>
      <c r="L12" s="125">
        <f t="shared" si="8"/>
        <v>1917535.7142857148</v>
      </c>
      <c r="M12" s="26"/>
      <c r="N12" s="176" t="s">
        <v>24</v>
      </c>
      <c r="O12" s="177"/>
      <c r="P12" s="10">
        <v>1</v>
      </c>
    </row>
    <row r="13" spans="1:16" x14ac:dyDescent="0.3">
      <c r="A13" s="52">
        <v>8</v>
      </c>
      <c r="B13" s="23">
        <f>(5+(5*A13))</f>
        <v>45</v>
      </c>
      <c r="C13" s="23">
        <f>'Árlista 2025.01.01'!$C$17</f>
        <v>390</v>
      </c>
      <c r="D13" s="23">
        <f>A13*$O$5+$O$6</f>
        <v>92</v>
      </c>
      <c r="E13" s="23">
        <f t="shared" si="1"/>
        <v>120</v>
      </c>
      <c r="F13" s="27">
        <f t="shared" si="6"/>
        <v>432.79464285714289</v>
      </c>
      <c r="G13" s="27">
        <f t="shared" si="2"/>
        <v>0</v>
      </c>
      <c r="H13" s="27">
        <f t="shared" si="7"/>
        <v>1034.7946428571429</v>
      </c>
      <c r="I13" s="42">
        <f>'Árlista 2025.01.01'!$C$5+('Árlista 2025.01.01'!$C$6*('Elsőbbségi Feladás'!A13-1)+'Árlista 2025.01.01'!$C$9)</f>
        <v>908</v>
      </c>
      <c r="J13" s="123">
        <f t="shared" si="3"/>
        <v>126.79464285714289</v>
      </c>
      <c r="K13" s="124">
        <f t="shared" si="4"/>
        <v>126794.64285714288</v>
      </c>
      <c r="L13" s="125">
        <f t="shared" si="8"/>
        <v>1521535.7142857146</v>
      </c>
      <c r="M13" s="26"/>
      <c r="N13" s="176" t="s">
        <v>25</v>
      </c>
      <c r="O13" s="177"/>
      <c r="P13" s="10">
        <v>3</v>
      </c>
    </row>
    <row r="14" spans="1:16" ht="15.6" customHeight="1" thickBot="1" x14ac:dyDescent="0.35">
      <c r="A14" s="52">
        <v>9</v>
      </c>
      <c r="B14" s="23">
        <f>(14+(5*A14))</f>
        <v>59</v>
      </c>
      <c r="C14" s="23">
        <f>'Árlista 2025.01.01'!$C$18</f>
        <v>1115</v>
      </c>
      <c r="D14" s="23">
        <f t="shared" ref="D14:D15" si="9">A14*$O$5+$O$8</f>
        <v>210</v>
      </c>
      <c r="E14" s="23">
        <f t="shared" si="1"/>
        <v>135</v>
      </c>
      <c r="F14" s="27">
        <f t="shared" si="6"/>
        <v>432.79464285714289</v>
      </c>
      <c r="G14" s="27">
        <f t="shared" si="2"/>
        <v>0</v>
      </c>
      <c r="H14" s="27">
        <f t="shared" si="7"/>
        <v>1892.7946428571429</v>
      </c>
      <c r="I14" s="42">
        <f>'Árlista 2025.01.01'!$C$5+('Árlista 2025.01.01'!$C$6*('Elsőbbségi Feladás'!A14-1)+'Árlista 2025.01.01'!$C$9)+'Árlista 2025.01.01'!$C$8</f>
        <v>1125</v>
      </c>
      <c r="J14" s="123">
        <f t="shared" si="3"/>
        <v>767.79464285714289</v>
      </c>
      <c r="K14" s="124">
        <f t="shared" si="4"/>
        <v>767794.64285714284</v>
      </c>
      <c r="L14" s="125">
        <f t="shared" si="8"/>
        <v>9213535.7142857146</v>
      </c>
      <c r="M14" s="26"/>
      <c r="N14" s="178" t="s">
        <v>26</v>
      </c>
      <c r="O14" s="179"/>
      <c r="P14" s="95">
        <v>3</v>
      </c>
    </row>
    <row r="15" spans="1:16" ht="15.75" thickBot="1" x14ac:dyDescent="0.35">
      <c r="A15" s="52">
        <v>10</v>
      </c>
      <c r="B15" s="23">
        <f t="shared" ref="B15:B24" si="10">(14+(5*A15))</f>
        <v>64</v>
      </c>
      <c r="C15" s="23">
        <f>'Árlista 2025.01.01'!$C$18</f>
        <v>1115</v>
      </c>
      <c r="D15" s="23">
        <f t="shared" si="9"/>
        <v>219</v>
      </c>
      <c r="E15" s="23">
        <f t="shared" si="1"/>
        <v>150</v>
      </c>
      <c r="F15" s="27">
        <f t="shared" si="6"/>
        <v>432.79464285714289</v>
      </c>
      <c r="G15" s="27">
        <f t="shared" si="2"/>
        <v>0</v>
      </c>
      <c r="H15" s="27">
        <f>SUM(C15:G15)</f>
        <v>1916.7946428571429</v>
      </c>
      <c r="I15" s="42">
        <f>'Árlista 2025.01.01'!$C$5+('Árlista 2025.01.01'!$C$6*('Elsőbbségi Feladás'!A15-1)+'Árlista 2025.01.01'!$C$9)+'Árlista 2025.01.01'!$C$8</f>
        <v>1182</v>
      </c>
      <c r="J15" s="123">
        <f t="shared" si="3"/>
        <v>734.79464285714289</v>
      </c>
      <c r="K15" s="124">
        <f t="shared" si="4"/>
        <v>734794.64285714284</v>
      </c>
      <c r="L15" s="125">
        <f t="shared" si="8"/>
        <v>8817535.7142857146</v>
      </c>
      <c r="M15" s="26"/>
      <c r="N15" s="180" t="s">
        <v>27</v>
      </c>
      <c r="O15" s="181"/>
      <c r="P15" s="11">
        <f>SUM(P11:P14)</f>
        <v>9</v>
      </c>
    </row>
    <row r="16" spans="1:16" ht="13.5" customHeight="1" thickBot="1" x14ac:dyDescent="0.35">
      <c r="A16" s="52">
        <v>11</v>
      </c>
      <c r="B16" s="23">
        <f t="shared" si="10"/>
        <v>69</v>
      </c>
      <c r="C16" s="23">
        <f>'Árlista 2025.01.01'!$C$18</f>
        <v>1115</v>
      </c>
      <c r="D16" s="23">
        <f t="shared" ref="D16:D25" si="11">A16*$O$5+$O$8</f>
        <v>228</v>
      </c>
      <c r="E16" s="23">
        <f t="shared" ref="E16:E25" si="12">A16*$O$7</f>
        <v>165</v>
      </c>
      <c r="F16" s="27">
        <f t="shared" si="6"/>
        <v>432.79464285714289</v>
      </c>
      <c r="G16" s="27">
        <f t="shared" ref="G16:G25" si="13">($P$27/$L$28)</f>
        <v>0</v>
      </c>
      <c r="H16" s="27">
        <f t="shared" ref="H16:H25" si="14">SUM(C16:G16)</f>
        <v>1940.7946428571429</v>
      </c>
      <c r="I16" s="42">
        <f>'Árlista 2025.01.01'!$C$5+('Árlista 2025.01.01'!$C$6*('Elsőbbségi Feladás'!A16-1)+'Árlista 2025.01.01'!$C$9)+'Árlista 2025.01.01'!$C$8</f>
        <v>1239</v>
      </c>
      <c r="J16" s="123">
        <f t="shared" ref="J16:J25" si="15">H16-I16</f>
        <v>701.79464285714289</v>
      </c>
      <c r="K16" s="124">
        <f t="shared" ref="K16:K25" si="16">(J16*$L$28)</f>
        <v>701794.64285714284</v>
      </c>
      <c r="L16" s="125">
        <f t="shared" ref="L16:L25" si="17">(12*K16)</f>
        <v>8421535.7142857146</v>
      </c>
      <c r="M16" s="9"/>
      <c r="N16" s="12" t="s">
        <v>28</v>
      </c>
      <c r="O16" s="182">
        <v>484730</v>
      </c>
      <c r="P16" s="183"/>
    </row>
    <row r="17" spans="1:16" ht="15.75" thickBot="1" x14ac:dyDescent="0.35">
      <c r="A17" s="52">
        <v>12</v>
      </c>
      <c r="B17" s="23">
        <f t="shared" si="10"/>
        <v>74</v>
      </c>
      <c r="C17" s="23">
        <f>'Árlista 2025.01.01'!$C$18</f>
        <v>1115</v>
      </c>
      <c r="D17" s="23">
        <f t="shared" si="11"/>
        <v>237</v>
      </c>
      <c r="E17" s="23">
        <f t="shared" si="12"/>
        <v>180</v>
      </c>
      <c r="F17" s="27">
        <f t="shared" si="6"/>
        <v>432.79464285714289</v>
      </c>
      <c r="G17" s="27">
        <f t="shared" si="13"/>
        <v>0</v>
      </c>
      <c r="H17" s="27">
        <f t="shared" si="14"/>
        <v>1964.7946428571429</v>
      </c>
      <c r="I17" s="42">
        <f>'Árlista 2025.01.01'!$C$5+('Árlista 2025.01.01'!$C$6*('Elsőbbségi Feladás'!A17-1)+'Árlista 2025.01.01'!$C$9)+'Árlista 2025.01.01'!$C$8</f>
        <v>1296</v>
      </c>
      <c r="J17" s="123">
        <f t="shared" si="15"/>
        <v>668.79464285714289</v>
      </c>
      <c r="K17" s="124">
        <f t="shared" si="16"/>
        <v>668794.64285714284</v>
      </c>
      <c r="L17" s="125">
        <f t="shared" si="17"/>
        <v>8025535.7142857146</v>
      </c>
      <c r="M17" s="9"/>
      <c r="N17" s="9"/>
      <c r="O17" s="9"/>
      <c r="P17" s="9"/>
    </row>
    <row r="18" spans="1:16" ht="15.75" thickBot="1" x14ac:dyDescent="0.35">
      <c r="A18" s="52">
        <v>13</v>
      </c>
      <c r="B18" s="23">
        <f t="shared" si="10"/>
        <v>79</v>
      </c>
      <c r="C18" s="23">
        <f>'Árlista 2025.01.01'!$C$18</f>
        <v>1115</v>
      </c>
      <c r="D18" s="23">
        <f t="shared" si="11"/>
        <v>246</v>
      </c>
      <c r="E18" s="23">
        <f t="shared" si="12"/>
        <v>195</v>
      </c>
      <c r="F18" s="27">
        <f t="shared" si="6"/>
        <v>432.79464285714289</v>
      </c>
      <c r="G18" s="27">
        <f t="shared" si="13"/>
        <v>0</v>
      </c>
      <c r="H18" s="27">
        <f t="shared" si="14"/>
        <v>1988.7946428571429</v>
      </c>
      <c r="I18" s="42">
        <f>'Árlista 2025.01.01'!$C$5+('Árlista 2025.01.01'!$C$6*('Elsőbbségi Feladás'!A18-1)+'Árlista 2025.01.01'!$C$9)+'Árlista 2025.01.01'!$C$8</f>
        <v>1353</v>
      </c>
      <c r="J18" s="123">
        <f t="shared" si="15"/>
        <v>635.79464285714289</v>
      </c>
      <c r="K18" s="124">
        <f t="shared" si="16"/>
        <v>635794.64285714284</v>
      </c>
      <c r="L18" s="125">
        <f t="shared" si="17"/>
        <v>7629535.7142857146</v>
      </c>
      <c r="M18" s="9"/>
      <c r="N18" s="161" t="s">
        <v>29</v>
      </c>
      <c r="O18" s="162"/>
      <c r="P18" s="163"/>
    </row>
    <row r="19" spans="1:16" x14ac:dyDescent="0.3">
      <c r="A19" s="52">
        <v>14</v>
      </c>
      <c r="B19" s="23">
        <f t="shared" si="10"/>
        <v>84</v>
      </c>
      <c r="C19" s="23">
        <f>'Árlista 2025.01.01'!$C$18</f>
        <v>1115</v>
      </c>
      <c r="D19" s="23">
        <f t="shared" si="11"/>
        <v>255</v>
      </c>
      <c r="E19" s="23">
        <f t="shared" si="12"/>
        <v>210</v>
      </c>
      <c r="F19" s="27">
        <f t="shared" si="6"/>
        <v>432.79464285714289</v>
      </c>
      <c r="G19" s="27">
        <f t="shared" si="13"/>
        <v>0</v>
      </c>
      <c r="H19" s="27">
        <f t="shared" si="14"/>
        <v>2012.7946428571429</v>
      </c>
      <c r="I19" s="42">
        <f>'Árlista 2025.01.01'!$C$5+('Árlista 2025.01.01'!$C$6*('Elsőbbségi Feladás'!A19-1)+'Árlista 2025.01.01'!$C$9)+'Árlista 2025.01.01'!$C$8</f>
        <v>1410</v>
      </c>
      <c r="J19" s="123">
        <f t="shared" si="15"/>
        <v>602.79464285714289</v>
      </c>
      <c r="K19" s="124">
        <f t="shared" si="16"/>
        <v>602794.64285714284</v>
      </c>
      <c r="L19" s="125">
        <f t="shared" si="17"/>
        <v>7233535.7142857146</v>
      </c>
      <c r="M19" s="9"/>
      <c r="N19" s="149" t="s">
        <v>30</v>
      </c>
      <c r="O19" s="150"/>
      <c r="P19" s="153">
        <v>0</v>
      </c>
    </row>
    <row r="20" spans="1:16" x14ac:dyDescent="0.3">
      <c r="A20" s="52">
        <v>15</v>
      </c>
      <c r="B20" s="23">
        <f t="shared" si="10"/>
        <v>89</v>
      </c>
      <c r="C20" s="23">
        <f>'Árlista 2025.01.01'!$C$18</f>
        <v>1115</v>
      </c>
      <c r="D20" s="23">
        <f t="shared" si="11"/>
        <v>264</v>
      </c>
      <c r="E20" s="23">
        <f t="shared" si="12"/>
        <v>225</v>
      </c>
      <c r="F20" s="27">
        <f t="shared" si="6"/>
        <v>432.79464285714289</v>
      </c>
      <c r="G20" s="27">
        <f t="shared" si="13"/>
        <v>0</v>
      </c>
      <c r="H20" s="27">
        <f t="shared" si="14"/>
        <v>2036.7946428571429</v>
      </c>
      <c r="I20" s="42">
        <f>'Árlista 2025.01.01'!$C$5+('Árlista 2025.01.01'!$C$6*('Elsőbbségi Feladás'!A20-1)+'Árlista 2025.01.01'!$C$9)+'Árlista 2025.01.01'!$C$8</f>
        <v>1467</v>
      </c>
      <c r="J20" s="123">
        <f t="shared" si="15"/>
        <v>569.79464285714289</v>
      </c>
      <c r="K20" s="124">
        <f t="shared" si="16"/>
        <v>569794.64285714284</v>
      </c>
      <c r="L20" s="125">
        <f t="shared" si="17"/>
        <v>6837535.7142857146</v>
      </c>
      <c r="M20" s="9"/>
      <c r="N20" s="151"/>
      <c r="O20" s="152"/>
      <c r="P20" s="154"/>
    </row>
    <row r="21" spans="1:16" x14ac:dyDescent="0.3">
      <c r="A21" s="52">
        <v>16</v>
      </c>
      <c r="B21" s="23">
        <f t="shared" si="10"/>
        <v>94</v>
      </c>
      <c r="C21" s="23">
        <f>'Árlista 2025.01.01'!$C$18</f>
        <v>1115</v>
      </c>
      <c r="D21" s="23">
        <f t="shared" si="11"/>
        <v>273</v>
      </c>
      <c r="E21" s="23">
        <f t="shared" si="12"/>
        <v>240</v>
      </c>
      <c r="F21" s="27">
        <f t="shared" si="6"/>
        <v>432.79464285714289</v>
      </c>
      <c r="G21" s="27">
        <f t="shared" si="13"/>
        <v>0</v>
      </c>
      <c r="H21" s="27">
        <f t="shared" si="14"/>
        <v>2060.7946428571431</v>
      </c>
      <c r="I21" s="42">
        <f>'Árlista 2025.01.01'!$C$5+('Árlista 2025.01.01'!$C$6*('Elsőbbségi Feladás'!A21-1)+'Árlista 2025.01.01'!$C$9)+'Árlista 2025.01.01'!$C$8</f>
        <v>1524</v>
      </c>
      <c r="J21" s="123">
        <f t="shared" si="15"/>
        <v>536.79464285714312</v>
      </c>
      <c r="K21" s="124">
        <f t="shared" si="16"/>
        <v>536794.64285714307</v>
      </c>
      <c r="L21" s="125">
        <f t="shared" si="17"/>
        <v>6441535.7142857164</v>
      </c>
      <c r="M21" s="9"/>
      <c r="N21" s="155" t="s">
        <v>31</v>
      </c>
      <c r="O21" s="156"/>
      <c r="P21" s="157">
        <v>0</v>
      </c>
    </row>
    <row r="22" spans="1:16" x14ac:dyDescent="0.3">
      <c r="A22" s="52">
        <v>17</v>
      </c>
      <c r="B22" s="23">
        <f t="shared" si="10"/>
        <v>99</v>
      </c>
      <c r="C22" s="23">
        <f>'Árlista 2025.01.01'!$C$18</f>
        <v>1115</v>
      </c>
      <c r="D22" s="23">
        <f t="shared" si="11"/>
        <v>282</v>
      </c>
      <c r="E22" s="23">
        <f t="shared" si="12"/>
        <v>255</v>
      </c>
      <c r="F22" s="27">
        <f t="shared" si="6"/>
        <v>432.79464285714289</v>
      </c>
      <c r="G22" s="27">
        <f t="shared" si="13"/>
        <v>0</v>
      </c>
      <c r="H22" s="27">
        <f t="shared" si="14"/>
        <v>2084.7946428571431</v>
      </c>
      <c r="I22" s="42">
        <f>'Árlista 2025.01.01'!$C$5+('Árlista 2025.01.01'!$C$6*('Elsőbbségi Feladás'!A22-1)+'Árlista 2025.01.01'!$C$9)+'Árlista 2025.01.01'!$C$8</f>
        <v>1581</v>
      </c>
      <c r="J22" s="123">
        <f t="shared" si="15"/>
        <v>503.79464285714312</v>
      </c>
      <c r="K22" s="124">
        <f t="shared" si="16"/>
        <v>503794.64285714313</v>
      </c>
      <c r="L22" s="125">
        <f t="shared" si="17"/>
        <v>6045535.7142857173</v>
      </c>
      <c r="M22" s="9"/>
      <c r="N22" s="155"/>
      <c r="O22" s="156"/>
      <c r="P22" s="157"/>
    </row>
    <row r="23" spans="1:16" x14ac:dyDescent="0.3">
      <c r="A23" s="52">
        <v>18</v>
      </c>
      <c r="B23" s="23">
        <f t="shared" si="10"/>
        <v>104</v>
      </c>
      <c r="C23" s="23">
        <f>'Árlista 2025.01.01'!$C$18</f>
        <v>1115</v>
      </c>
      <c r="D23" s="23">
        <f t="shared" si="11"/>
        <v>291</v>
      </c>
      <c r="E23" s="23">
        <f t="shared" si="12"/>
        <v>270</v>
      </c>
      <c r="F23" s="27">
        <f t="shared" si="6"/>
        <v>432.79464285714289</v>
      </c>
      <c r="G23" s="27">
        <f t="shared" si="13"/>
        <v>0</v>
      </c>
      <c r="H23" s="27">
        <f t="shared" si="14"/>
        <v>2108.7946428571431</v>
      </c>
      <c r="I23" s="42">
        <f>'Árlista 2025.01.01'!$C$5+('Árlista 2025.01.01'!$C$6*('Elsőbbségi Feladás'!A23-1)+'Árlista 2025.01.01'!$C$9)+'Árlista 2025.01.01'!$C$8</f>
        <v>1638</v>
      </c>
      <c r="J23" s="123">
        <f t="shared" si="15"/>
        <v>470.79464285714312</v>
      </c>
      <c r="K23" s="124">
        <f t="shared" si="16"/>
        <v>470794.64285714313</v>
      </c>
      <c r="L23" s="125">
        <f t="shared" si="17"/>
        <v>5649535.7142857173</v>
      </c>
      <c r="M23" s="9"/>
      <c r="N23" s="13" t="s">
        <v>32</v>
      </c>
      <c r="O23" s="14"/>
      <c r="P23" s="15">
        <v>0</v>
      </c>
    </row>
    <row r="24" spans="1:16" x14ac:dyDescent="0.3">
      <c r="A24" s="52">
        <v>19</v>
      </c>
      <c r="B24" s="23">
        <f t="shared" si="10"/>
        <v>109</v>
      </c>
      <c r="C24" s="23">
        <f>'Árlista 2025.01.01'!$C$18</f>
        <v>1115</v>
      </c>
      <c r="D24" s="23">
        <f t="shared" si="11"/>
        <v>300</v>
      </c>
      <c r="E24" s="23">
        <f t="shared" si="12"/>
        <v>285</v>
      </c>
      <c r="F24" s="27">
        <f t="shared" si="6"/>
        <v>432.79464285714289</v>
      </c>
      <c r="G24" s="27">
        <f t="shared" si="13"/>
        <v>0</v>
      </c>
      <c r="H24" s="27">
        <f t="shared" si="14"/>
        <v>2132.7946428571431</v>
      </c>
      <c r="I24" s="42">
        <f>'Árlista 2025.01.01'!$C$5+('Árlista 2025.01.01'!$C$6*('Elsőbbségi Feladás'!A24-1)+'Árlista 2025.01.01'!$C$9)+'Árlista 2025.01.01'!$C$8</f>
        <v>1695</v>
      </c>
      <c r="J24" s="123">
        <f t="shared" si="15"/>
        <v>437.79464285714312</v>
      </c>
      <c r="K24" s="124">
        <f t="shared" si="16"/>
        <v>437794.64285714313</v>
      </c>
      <c r="L24" s="125">
        <f t="shared" si="17"/>
        <v>5253535.7142857173</v>
      </c>
      <c r="M24" s="9"/>
      <c r="N24" s="16" t="s">
        <v>33</v>
      </c>
      <c r="O24" s="17"/>
      <c r="P24" s="83">
        <v>0</v>
      </c>
    </row>
    <row r="25" spans="1:16" ht="15.75" thickBot="1" x14ac:dyDescent="0.35">
      <c r="A25" s="53">
        <v>20</v>
      </c>
      <c r="B25" s="28">
        <f>(14+(5*A25))</f>
        <v>114</v>
      </c>
      <c r="C25" s="28">
        <f>'Árlista 2025.01.01'!$C$18</f>
        <v>1115</v>
      </c>
      <c r="D25" s="28">
        <f t="shared" si="11"/>
        <v>309</v>
      </c>
      <c r="E25" s="28">
        <f t="shared" si="12"/>
        <v>300</v>
      </c>
      <c r="F25" s="29">
        <f t="shared" si="6"/>
        <v>432.79464285714289</v>
      </c>
      <c r="G25" s="29">
        <f t="shared" si="13"/>
        <v>0</v>
      </c>
      <c r="H25" s="29">
        <f t="shared" si="14"/>
        <v>2156.7946428571431</v>
      </c>
      <c r="I25" s="43">
        <f>'Árlista 2025.01.01'!$C$5+('Árlista 2025.01.01'!$C$6*('Elsőbbségi Feladás'!A25-1)+'Árlista 2025.01.01'!$C$9)+'Árlista 2025.01.01'!$C$8</f>
        <v>1752</v>
      </c>
      <c r="J25" s="126">
        <f t="shared" si="15"/>
        <v>404.79464285714312</v>
      </c>
      <c r="K25" s="127">
        <f t="shared" si="16"/>
        <v>404794.64285714313</v>
      </c>
      <c r="L25" s="128">
        <f t="shared" si="17"/>
        <v>4857535.7142857173</v>
      </c>
      <c r="M25" s="9"/>
      <c r="N25" s="16" t="s">
        <v>34</v>
      </c>
      <c r="O25" s="17"/>
      <c r="P25" s="18">
        <v>0</v>
      </c>
    </row>
    <row r="26" spans="1:16" x14ac:dyDescent="0.3">
      <c r="A26" s="9"/>
      <c r="B26" s="9"/>
      <c r="C26" s="30"/>
      <c r="D26" s="30"/>
      <c r="E26" s="30"/>
      <c r="F26" s="30"/>
      <c r="G26" s="30"/>
      <c r="H26" s="30"/>
      <c r="I26" s="30"/>
      <c r="J26" s="31"/>
      <c r="K26" s="32"/>
      <c r="L26" s="32"/>
      <c r="M26" s="9"/>
      <c r="N26" s="16" t="s">
        <v>35</v>
      </c>
      <c r="O26" s="17"/>
      <c r="P26" s="18">
        <v>0</v>
      </c>
    </row>
    <row r="27" spans="1:16" ht="15.75" thickBot="1" x14ac:dyDescent="0.35">
      <c r="A27" s="9"/>
      <c r="B27" s="9"/>
      <c r="C27" s="30"/>
      <c r="D27" s="30"/>
      <c r="E27" s="30"/>
      <c r="F27" s="30"/>
      <c r="G27" s="30"/>
      <c r="H27" s="30"/>
      <c r="I27" s="30"/>
      <c r="J27" s="31"/>
      <c r="K27" s="32"/>
      <c r="L27" s="32"/>
      <c r="M27" s="9"/>
      <c r="N27" s="19" t="s">
        <v>27</v>
      </c>
      <c r="O27" s="20"/>
      <c r="P27" s="21">
        <f>SUM(P19:P26)</f>
        <v>0</v>
      </c>
    </row>
    <row r="28" spans="1:16" ht="15.75" thickBot="1" x14ac:dyDescent="0.35">
      <c r="A28" s="9"/>
      <c r="B28" s="9"/>
      <c r="C28" s="30"/>
      <c r="D28" s="30"/>
      <c r="E28" s="30"/>
      <c r="F28" s="30"/>
      <c r="G28" s="30"/>
      <c r="H28" s="30"/>
      <c r="I28" s="158" t="s">
        <v>37</v>
      </c>
      <c r="J28" s="159"/>
      <c r="K28" s="160"/>
      <c r="L28" s="36">
        <v>1000</v>
      </c>
      <c r="M28" s="9"/>
      <c r="N28" s="9"/>
      <c r="O28" s="9"/>
      <c r="P28" s="9"/>
    </row>
    <row r="29" spans="1:16" x14ac:dyDescent="0.3">
      <c r="A29" s="33" t="s">
        <v>36</v>
      </c>
      <c r="B29" s="34"/>
      <c r="C29" s="35"/>
      <c r="D29" s="35"/>
      <c r="E29" s="35"/>
      <c r="F29" s="33"/>
      <c r="G29" s="30"/>
      <c r="H29" s="30"/>
      <c r="I29" s="30"/>
      <c r="J29" s="31"/>
      <c r="K29" s="32"/>
      <c r="L29" s="32"/>
      <c r="M29" s="9"/>
      <c r="N29" s="9"/>
      <c r="O29" s="9"/>
      <c r="P29" s="9"/>
    </row>
    <row r="30" spans="1:16" x14ac:dyDescent="0.3">
      <c r="A30" s="37" t="s">
        <v>38</v>
      </c>
      <c r="B30" s="9"/>
      <c r="C30" s="30"/>
      <c r="D30" s="30"/>
      <c r="E30" s="30"/>
      <c r="F30" s="30"/>
      <c r="G30" s="30"/>
      <c r="H30" s="30"/>
      <c r="I30" s="30"/>
      <c r="J30" s="31"/>
      <c r="K30" s="32"/>
      <c r="L30" s="32"/>
      <c r="M30" s="9"/>
      <c r="N30" s="9"/>
      <c r="O30" s="9"/>
      <c r="P30" s="9"/>
    </row>
    <row r="31" spans="1:16" x14ac:dyDescent="0.3">
      <c r="A31" s="9" t="s">
        <v>39</v>
      </c>
      <c r="B31" s="9"/>
      <c r="C31" s="30"/>
      <c r="D31" s="30"/>
      <c r="E31" s="30"/>
      <c r="F31" s="30"/>
      <c r="G31" s="30"/>
      <c r="H31" s="30"/>
      <c r="I31" s="30"/>
      <c r="J31" s="31"/>
      <c r="K31" s="32"/>
      <c r="L31" s="32"/>
      <c r="M31" s="9"/>
      <c r="N31" s="9"/>
      <c r="O31" s="9"/>
      <c r="P31" s="9"/>
    </row>
    <row r="32" spans="1:16" x14ac:dyDescent="0.3">
      <c r="A32" s="9" t="s">
        <v>40</v>
      </c>
      <c r="B32" s="9"/>
      <c r="C32" s="30"/>
      <c r="D32" s="30"/>
      <c r="E32" s="30"/>
      <c r="F32" s="30"/>
      <c r="G32" s="30"/>
      <c r="H32" s="30"/>
      <c r="I32" s="30"/>
      <c r="J32" s="31"/>
      <c r="K32" s="32"/>
      <c r="L32" s="32"/>
      <c r="M32" s="9"/>
      <c r="N32" s="9"/>
      <c r="O32" s="9"/>
      <c r="P32" s="9"/>
    </row>
    <row r="33" spans="1:1" ht="16.5" x14ac:dyDescent="0.3">
      <c r="A33" s="74"/>
    </row>
    <row r="34" spans="1:1" x14ac:dyDescent="0.3">
      <c r="A34" s="9" t="s">
        <v>41</v>
      </c>
    </row>
    <row r="35" spans="1:1" x14ac:dyDescent="0.3">
      <c r="A35" s="9" t="s">
        <v>42</v>
      </c>
    </row>
    <row r="36" spans="1:1" x14ac:dyDescent="0.3">
      <c r="A36" s="9" t="s">
        <v>43</v>
      </c>
    </row>
    <row r="37" spans="1:1" x14ac:dyDescent="0.3">
      <c r="A37" s="9" t="s">
        <v>77</v>
      </c>
    </row>
    <row r="38" spans="1:1" x14ac:dyDescent="0.3">
      <c r="A38" s="9"/>
    </row>
    <row r="39" spans="1:1" x14ac:dyDescent="0.3">
      <c r="A39" s="9" t="s">
        <v>76</v>
      </c>
    </row>
    <row r="40" spans="1:1" x14ac:dyDescent="0.3">
      <c r="A40" s="9" t="s">
        <v>75</v>
      </c>
    </row>
  </sheetData>
  <mergeCells count="17">
    <mergeCell ref="N19:O20"/>
    <mergeCell ref="P19:P20"/>
    <mergeCell ref="N21:O22"/>
    <mergeCell ref="P21:P22"/>
    <mergeCell ref="I28:K28"/>
    <mergeCell ref="A4:B4"/>
    <mergeCell ref="C4:H4"/>
    <mergeCell ref="J4:L4"/>
    <mergeCell ref="N4:P4"/>
    <mergeCell ref="N10:P10"/>
    <mergeCell ref="O16:P16"/>
    <mergeCell ref="N18:P18"/>
    <mergeCell ref="N11:O11"/>
    <mergeCell ref="N12:O12"/>
    <mergeCell ref="N13:O13"/>
    <mergeCell ref="N14:O14"/>
    <mergeCell ref="N15:O15"/>
  </mergeCells>
  <conditionalFormatting sqref="J6:L25">
    <cfRule type="cellIs" dxfId="7" priority="5" operator="lessThan">
      <formula>0</formula>
    </cfRule>
    <cfRule type="cellIs" dxfId="6" priority="6" operator="greaterThanOrEqual">
      <formula>0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4E0A-1C47-4501-BF4A-E50CBFB3CFAC}">
  <dimension ref="A3:Q29"/>
  <sheetViews>
    <sheetView zoomScaleNormal="100" workbookViewId="0">
      <selection activeCell="M17" sqref="M17"/>
    </sheetView>
  </sheetViews>
  <sheetFormatPr defaultColWidth="9.140625" defaultRowHeight="15" x14ac:dyDescent="0.3"/>
  <cols>
    <col min="1" max="1" width="10.140625" style="73" customWidth="1"/>
    <col min="2" max="2" width="4.7109375" style="73" bestFit="1" customWidth="1"/>
    <col min="3" max="3" width="8.7109375" style="76" bestFit="1" customWidth="1"/>
    <col min="4" max="4" width="10" style="76" bestFit="1" customWidth="1"/>
    <col min="5" max="5" width="10.7109375" style="76" bestFit="1" customWidth="1"/>
    <col min="6" max="6" width="10" style="76" bestFit="1" customWidth="1"/>
    <col min="7" max="7" width="11.140625" style="76" bestFit="1" customWidth="1"/>
    <col min="8" max="8" width="12.42578125" style="76" bestFit="1" customWidth="1"/>
    <col min="9" max="9" width="9.140625" style="76" bestFit="1" customWidth="1"/>
    <col min="10" max="10" width="11.140625" style="76" customWidth="1"/>
    <col min="11" max="11" width="17.85546875" style="77" customWidth="1"/>
    <col min="12" max="13" width="17.85546875" style="78" customWidth="1"/>
    <col min="14" max="14" width="3.7109375" style="73" customWidth="1"/>
    <col min="15" max="15" width="18" style="73" customWidth="1"/>
    <col min="16" max="16" width="17.5703125" style="73" customWidth="1"/>
    <col min="17" max="17" width="9.28515625" style="73" bestFit="1" customWidth="1"/>
    <col min="18" max="16384" width="9.140625" style="73"/>
  </cols>
  <sheetData>
    <row r="3" spans="1:17" ht="22.15" customHeight="1" thickBot="1" x14ac:dyDescent="0.35">
      <c r="A3" s="9"/>
      <c r="B3" s="9"/>
      <c r="C3" s="30"/>
      <c r="D3" s="30"/>
      <c r="E3" s="30"/>
      <c r="F3" s="30"/>
      <c r="G3" s="30"/>
      <c r="H3" s="30"/>
      <c r="I3" s="30"/>
      <c r="J3" s="30"/>
      <c r="K3" s="31"/>
      <c r="L3" s="32"/>
      <c r="M3" s="32"/>
      <c r="N3" s="9"/>
      <c r="O3" s="9"/>
      <c r="P3" s="9"/>
      <c r="Q3" s="9"/>
    </row>
    <row r="4" spans="1:17" ht="33" customHeight="1" thickBot="1" x14ac:dyDescent="0.35">
      <c r="A4" s="164" t="s">
        <v>48</v>
      </c>
      <c r="B4" s="165"/>
      <c r="C4" s="166" t="s">
        <v>1</v>
      </c>
      <c r="D4" s="167"/>
      <c r="E4" s="167"/>
      <c r="F4" s="167"/>
      <c r="G4" s="168"/>
      <c r="H4" s="168"/>
      <c r="I4" s="169"/>
      <c r="J4" s="72" t="s">
        <v>2</v>
      </c>
      <c r="K4" s="170" t="s">
        <v>74</v>
      </c>
      <c r="L4" s="171"/>
      <c r="M4" s="172"/>
      <c r="N4" s="9"/>
      <c r="O4" s="173" t="s">
        <v>3</v>
      </c>
      <c r="P4" s="174"/>
      <c r="Q4" s="175"/>
    </row>
    <row r="5" spans="1:17" ht="30.6" customHeight="1" thickBot="1" x14ac:dyDescent="0.35">
      <c r="A5" s="101" t="s">
        <v>4</v>
      </c>
      <c r="B5" s="102" t="s">
        <v>5</v>
      </c>
      <c r="C5" s="45" t="s">
        <v>6</v>
      </c>
      <c r="D5" s="38" t="s">
        <v>7</v>
      </c>
      <c r="E5" s="38" t="s">
        <v>8</v>
      </c>
      <c r="F5" s="38" t="s">
        <v>9</v>
      </c>
      <c r="G5" s="39" t="s">
        <v>10</v>
      </c>
      <c r="H5" s="39" t="s">
        <v>50</v>
      </c>
      <c r="I5" s="102" t="s">
        <v>11</v>
      </c>
      <c r="J5" s="54" t="s">
        <v>12</v>
      </c>
      <c r="K5" s="22" t="s">
        <v>13</v>
      </c>
      <c r="L5" s="46" t="s">
        <v>14</v>
      </c>
      <c r="M5" s="47" t="s">
        <v>15</v>
      </c>
      <c r="N5" s="9"/>
      <c r="O5" s="82" t="s">
        <v>16</v>
      </c>
      <c r="P5" s="2">
        <v>9</v>
      </c>
      <c r="Q5" s="3" t="s">
        <v>17</v>
      </c>
    </row>
    <row r="6" spans="1:17" x14ac:dyDescent="0.3">
      <c r="A6" s="51">
        <v>1</v>
      </c>
      <c r="B6" s="24">
        <f>(5+(5*A6))</f>
        <v>10</v>
      </c>
      <c r="C6" s="24">
        <f>'Árlista 2025.01.01'!$C$15</f>
        <v>270</v>
      </c>
      <c r="D6" s="24">
        <f t="shared" ref="D6:D11" si="0">A6*$P$5+$P$6</f>
        <v>29</v>
      </c>
      <c r="E6" s="24">
        <f t="shared" ref="E6:E15" si="1">A6*$P$7</f>
        <v>15</v>
      </c>
      <c r="F6" s="25">
        <f t="shared" ref="F6:F15" si="2">(($P$16/10080)*$Q$15)</f>
        <v>432.79464285714289</v>
      </c>
      <c r="G6" s="25">
        <f>($Q$27/$M$17)</f>
        <v>0</v>
      </c>
      <c r="H6" s="25">
        <f>'Árlista 2025.01.01'!$C$19</f>
        <v>800</v>
      </c>
      <c r="I6" s="25">
        <f>SUM(C6:H6)</f>
        <v>1546.7946428571429</v>
      </c>
      <c r="J6" s="106">
        <f>'Árlista 2025.01.01'!$C$5+'Árlista 2025.01.01'!$C$6*('Ajánlott Feladás'!A6-1)+'Árlista 2025.01.01'!$C$10</f>
        <v>1149</v>
      </c>
      <c r="K6" s="129">
        <f>I6-J6</f>
        <v>397.79464285714289</v>
      </c>
      <c r="L6" s="117">
        <f t="shared" ref="L6:L15" si="3">(K6*$M$17)</f>
        <v>397794.6428571429</v>
      </c>
      <c r="M6" s="129">
        <f>(12*L6)</f>
        <v>4773535.7142857146</v>
      </c>
      <c r="N6" s="26"/>
      <c r="O6" s="4" t="s">
        <v>18</v>
      </c>
      <c r="P6" s="2">
        <v>20</v>
      </c>
      <c r="Q6" s="5" t="s">
        <v>17</v>
      </c>
    </row>
    <row r="7" spans="1:17" x14ac:dyDescent="0.3">
      <c r="A7" s="52">
        <v>2</v>
      </c>
      <c r="B7" s="23">
        <f t="shared" ref="B7:B11" si="4">(5+(5*A7))</f>
        <v>15</v>
      </c>
      <c r="C7" s="23">
        <f>'Árlista 2025.01.01'!$C$15</f>
        <v>270</v>
      </c>
      <c r="D7" s="23">
        <f t="shared" si="0"/>
        <v>38</v>
      </c>
      <c r="E7" s="23">
        <f t="shared" si="1"/>
        <v>30</v>
      </c>
      <c r="F7" s="27">
        <f t="shared" si="2"/>
        <v>432.79464285714289</v>
      </c>
      <c r="G7" s="27">
        <f t="shared" ref="G7:G15" si="5">($Q$27/$M$17)</f>
        <v>0</v>
      </c>
      <c r="H7" s="27">
        <f>'Árlista 2025.01.01'!$C$19</f>
        <v>800</v>
      </c>
      <c r="I7" s="27">
        <f t="shared" ref="I7:I15" si="6">SUM(C7:H7)</f>
        <v>1570.7946428571429</v>
      </c>
      <c r="J7" s="107">
        <f>'Árlista 2025.01.01'!$C$5+'Árlista 2025.01.01'!$C$6*('Ajánlott Feladás'!A7-1)+'Árlista 2025.01.01'!$C$10</f>
        <v>1206</v>
      </c>
      <c r="K7" s="130">
        <f t="shared" ref="K7:K15" si="7">I7-J7</f>
        <v>364.79464285714289</v>
      </c>
      <c r="L7" s="118">
        <f t="shared" si="3"/>
        <v>364794.6428571429</v>
      </c>
      <c r="M7" s="130">
        <f t="shared" ref="M7:M15" si="8">(12*L7)</f>
        <v>4377535.7142857146</v>
      </c>
      <c r="N7" s="26"/>
      <c r="O7" s="4" t="s">
        <v>19</v>
      </c>
      <c r="P7" s="2">
        <v>15</v>
      </c>
      <c r="Q7" s="5" t="s">
        <v>20</v>
      </c>
    </row>
    <row r="8" spans="1:17" ht="15.75" thickBot="1" x14ac:dyDescent="0.35">
      <c r="A8" s="52">
        <v>3</v>
      </c>
      <c r="B8" s="23">
        <f t="shared" si="4"/>
        <v>20</v>
      </c>
      <c r="C8" s="23">
        <f>'Árlista 2025.01.01'!$C$15</f>
        <v>270</v>
      </c>
      <c r="D8" s="23">
        <f t="shared" si="0"/>
        <v>47</v>
      </c>
      <c r="E8" s="23">
        <f t="shared" si="1"/>
        <v>45</v>
      </c>
      <c r="F8" s="27">
        <f t="shared" si="2"/>
        <v>432.79464285714289</v>
      </c>
      <c r="G8" s="27">
        <f t="shared" si="5"/>
        <v>0</v>
      </c>
      <c r="H8" s="27">
        <f>'Árlista 2025.01.01'!$C$19</f>
        <v>800</v>
      </c>
      <c r="I8" s="27">
        <f t="shared" si="6"/>
        <v>1594.7946428571429</v>
      </c>
      <c r="J8" s="107">
        <f>'Árlista 2025.01.01'!$C$5+'Árlista 2025.01.01'!$C$6*('Ajánlott Feladás'!A8-1)+'Árlista 2025.01.01'!$C$10</f>
        <v>1263</v>
      </c>
      <c r="K8" s="130">
        <f t="shared" si="7"/>
        <v>331.79464285714289</v>
      </c>
      <c r="L8" s="118">
        <f t="shared" si="3"/>
        <v>331794.6428571429</v>
      </c>
      <c r="M8" s="130">
        <f t="shared" si="8"/>
        <v>3981535.7142857146</v>
      </c>
      <c r="N8" s="26"/>
      <c r="O8" s="6" t="s">
        <v>21</v>
      </c>
      <c r="P8" s="7">
        <v>129</v>
      </c>
      <c r="Q8" s="8" t="s">
        <v>17</v>
      </c>
    </row>
    <row r="9" spans="1:17" ht="15.75" thickBot="1" x14ac:dyDescent="0.35">
      <c r="A9" s="52">
        <v>4</v>
      </c>
      <c r="B9" s="23">
        <f t="shared" si="4"/>
        <v>25</v>
      </c>
      <c r="C9" s="23">
        <f>'Árlista 2025.01.01'!$C$15</f>
        <v>270</v>
      </c>
      <c r="D9" s="23">
        <f t="shared" si="0"/>
        <v>56</v>
      </c>
      <c r="E9" s="23">
        <f t="shared" si="1"/>
        <v>60</v>
      </c>
      <c r="F9" s="27">
        <f t="shared" si="2"/>
        <v>432.79464285714289</v>
      </c>
      <c r="G9" s="27">
        <f t="shared" si="5"/>
        <v>0</v>
      </c>
      <c r="H9" s="27">
        <f>'Árlista 2025.01.01'!$C$19</f>
        <v>800</v>
      </c>
      <c r="I9" s="27">
        <f t="shared" si="6"/>
        <v>1618.7946428571429</v>
      </c>
      <c r="J9" s="107">
        <f>'Árlista 2025.01.01'!$C$5+'Árlista 2025.01.01'!$C$6*('Ajánlott Feladás'!A9-1)+'Árlista 2025.01.01'!$C$10</f>
        <v>1320</v>
      </c>
      <c r="K9" s="130">
        <f t="shared" si="7"/>
        <v>298.79464285714289</v>
      </c>
      <c r="L9" s="118">
        <f t="shared" si="3"/>
        <v>298794.6428571429</v>
      </c>
      <c r="M9" s="130">
        <f t="shared" si="8"/>
        <v>3585535.7142857146</v>
      </c>
      <c r="N9" s="26"/>
      <c r="O9" s="9"/>
      <c r="P9" s="9"/>
      <c r="Q9" s="9"/>
    </row>
    <row r="10" spans="1:17" x14ac:dyDescent="0.3">
      <c r="A10" s="52">
        <v>5</v>
      </c>
      <c r="B10" s="23">
        <f t="shared" si="4"/>
        <v>30</v>
      </c>
      <c r="C10" s="23">
        <f>'Árlista 2025.01.01'!$C$15</f>
        <v>270</v>
      </c>
      <c r="D10" s="23">
        <f t="shared" si="0"/>
        <v>65</v>
      </c>
      <c r="E10" s="23">
        <f t="shared" si="1"/>
        <v>75</v>
      </c>
      <c r="F10" s="27">
        <f t="shared" si="2"/>
        <v>432.79464285714289</v>
      </c>
      <c r="G10" s="27">
        <f t="shared" si="5"/>
        <v>0</v>
      </c>
      <c r="H10" s="27">
        <f>'Árlista 2025.01.01'!$C$19</f>
        <v>800</v>
      </c>
      <c r="I10" s="27">
        <f t="shared" si="6"/>
        <v>1642.7946428571429</v>
      </c>
      <c r="J10" s="107">
        <f>'Árlista 2025.01.01'!$C$5+'Árlista 2025.01.01'!$C$6*('Ajánlott Feladás'!A10-1)+'Árlista 2025.01.01'!$C$10</f>
        <v>1377</v>
      </c>
      <c r="K10" s="130">
        <f t="shared" si="7"/>
        <v>265.79464285714289</v>
      </c>
      <c r="L10" s="118">
        <f t="shared" si="3"/>
        <v>265794.6428571429</v>
      </c>
      <c r="M10" s="130">
        <f t="shared" si="8"/>
        <v>3189535.7142857146</v>
      </c>
      <c r="N10" s="26"/>
      <c r="O10" s="173" t="s">
        <v>22</v>
      </c>
      <c r="P10" s="174"/>
      <c r="Q10" s="175"/>
    </row>
    <row r="11" spans="1:17" x14ac:dyDescent="0.3">
      <c r="A11" s="52">
        <v>6</v>
      </c>
      <c r="B11" s="23">
        <f t="shared" si="4"/>
        <v>35</v>
      </c>
      <c r="C11" s="23">
        <f>'Árlista 2025.01.01'!$C$15</f>
        <v>270</v>
      </c>
      <c r="D11" s="23">
        <f t="shared" si="0"/>
        <v>74</v>
      </c>
      <c r="E11" s="23">
        <f t="shared" si="1"/>
        <v>90</v>
      </c>
      <c r="F11" s="27">
        <f t="shared" si="2"/>
        <v>432.79464285714289</v>
      </c>
      <c r="G11" s="27">
        <f t="shared" si="5"/>
        <v>0</v>
      </c>
      <c r="H11" s="27">
        <f>'Árlista 2025.01.01'!$C$19</f>
        <v>800</v>
      </c>
      <c r="I11" s="27">
        <f t="shared" si="6"/>
        <v>1666.7946428571429</v>
      </c>
      <c r="J11" s="107">
        <f>'Árlista 2025.01.01'!$C$5+'Árlista 2025.01.01'!$C$6*('Ajánlott Feladás'!A11-1)+'Árlista 2025.01.01'!$C$10</f>
        <v>1434</v>
      </c>
      <c r="K11" s="130">
        <f t="shared" si="7"/>
        <v>232.79464285714289</v>
      </c>
      <c r="L11" s="118">
        <f t="shared" si="3"/>
        <v>232794.6428571429</v>
      </c>
      <c r="M11" s="130">
        <f t="shared" si="8"/>
        <v>2793535.7142857146</v>
      </c>
      <c r="N11" s="26"/>
      <c r="O11" s="176" t="s">
        <v>23</v>
      </c>
      <c r="P11" s="177"/>
      <c r="Q11" s="10">
        <v>2</v>
      </c>
    </row>
    <row r="12" spans="1:17" x14ac:dyDescent="0.3">
      <c r="A12" s="52">
        <v>7</v>
      </c>
      <c r="B12" s="23">
        <f>(5+(5*A12))</f>
        <v>40</v>
      </c>
      <c r="C12" s="23">
        <f>'Árlista 2025.01.01'!$C$15</f>
        <v>270</v>
      </c>
      <c r="D12" s="23">
        <f>A12*$P$5+$P$6</f>
        <v>83</v>
      </c>
      <c r="E12" s="23">
        <f t="shared" si="1"/>
        <v>105</v>
      </c>
      <c r="F12" s="27">
        <f t="shared" si="2"/>
        <v>432.79464285714289</v>
      </c>
      <c r="G12" s="27">
        <f t="shared" si="5"/>
        <v>0</v>
      </c>
      <c r="H12" s="27">
        <f>'Árlista 2025.01.01'!$C$19</f>
        <v>800</v>
      </c>
      <c r="I12" s="27">
        <f t="shared" si="6"/>
        <v>1690.7946428571429</v>
      </c>
      <c r="J12" s="107">
        <f>'Árlista 2025.01.01'!$C$5+'Árlista 2025.01.01'!$C$6*('Ajánlott Feladás'!A12-1)+'Árlista 2025.01.01'!$C$10</f>
        <v>1491</v>
      </c>
      <c r="K12" s="130">
        <f t="shared" si="7"/>
        <v>199.79464285714289</v>
      </c>
      <c r="L12" s="118">
        <f t="shared" si="3"/>
        <v>199794.6428571429</v>
      </c>
      <c r="M12" s="130">
        <f t="shared" si="8"/>
        <v>2397535.7142857146</v>
      </c>
      <c r="N12" s="26"/>
      <c r="O12" s="176" t="s">
        <v>24</v>
      </c>
      <c r="P12" s="177"/>
      <c r="Q12" s="10">
        <v>1</v>
      </c>
    </row>
    <row r="13" spans="1:17" x14ac:dyDescent="0.3">
      <c r="A13" s="52">
        <v>8</v>
      </c>
      <c r="B13" s="23">
        <f>(5+(5*A13))</f>
        <v>45</v>
      </c>
      <c r="C13" s="23">
        <f>'Árlista 2025.01.01'!$C$15</f>
        <v>270</v>
      </c>
      <c r="D13" s="23">
        <f>A13*$P$5+$P$6</f>
        <v>92</v>
      </c>
      <c r="E13" s="23">
        <f t="shared" si="1"/>
        <v>120</v>
      </c>
      <c r="F13" s="27">
        <f t="shared" si="2"/>
        <v>432.79464285714289</v>
      </c>
      <c r="G13" s="27">
        <f t="shared" si="5"/>
        <v>0</v>
      </c>
      <c r="H13" s="27">
        <f>'Árlista 2025.01.01'!$C$19</f>
        <v>800</v>
      </c>
      <c r="I13" s="27">
        <f t="shared" si="6"/>
        <v>1714.7946428571429</v>
      </c>
      <c r="J13" s="107">
        <f>'Árlista 2025.01.01'!$C$5+'Árlista 2025.01.01'!$C$6*('Ajánlott Feladás'!A13-1)+'Árlista 2025.01.01'!$C$10</f>
        <v>1548</v>
      </c>
      <c r="K13" s="130">
        <f t="shared" si="7"/>
        <v>166.79464285714289</v>
      </c>
      <c r="L13" s="118">
        <f t="shared" si="3"/>
        <v>166794.6428571429</v>
      </c>
      <c r="M13" s="130">
        <f t="shared" si="8"/>
        <v>2001535.7142857148</v>
      </c>
      <c r="N13" s="26"/>
      <c r="O13" s="176" t="s">
        <v>25</v>
      </c>
      <c r="P13" s="177"/>
      <c r="Q13" s="10">
        <v>3</v>
      </c>
    </row>
    <row r="14" spans="1:17" ht="15.75" customHeight="1" thickBot="1" x14ac:dyDescent="0.35">
      <c r="A14" s="52">
        <v>9</v>
      </c>
      <c r="B14" s="23">
        <f>(14+(5*A14))</f>
        <v>59</v>
      </c>
      <c r="C14" s="23">
        <f>'Árlista 2025.01.01'!$C$16</f>
        <v>815</v>
      </c>
      <c r="D14" s="23">
        <f>A14*$P$5+$P$8</f>
        <v>210</v>
      </c>
      <c r="E14" s="23">
        <f t="shared" si="1"/>
        <v>135</v>
      </c>
      <c r="F14" s="27">
        <f t="shared" si="2"/>
        <v>432.79464285714289</v>
      </c>
      <c r="G14" s="27">
        <f t="shared" si="5"/>
        <v>0</v>
      </c>
      <c r="H14" s="27">
        <f>'Árlista 2025.01.01'!$C$19</f>
        <v>800</v>
      </c>
      <c r="I14" s="27">
        <f t="shared" si="6"/>
        <v>2392.7946428571431</v>
      </c>
      <c r="J14" s="107">
        <f>'Árlista 2025.01.01'!$C$5+'Árlista 2025.01.01'!$C$6*('Ajánlott Feladás'!A14-1)+'Árlista 2025.01.01'!$C$10+'Árlista 2025.01.01'!$C$8</f>
        <v>1765</v>
      </c>
      <c r="K14" s="130">
        <f t="shared" si="7"/>
        <v>627.79464285714312</v>
      </c>
      <c r="L14" s="118">
        <f t="shared" si="3"/>
        <v>627794.64285714307</v>
      </c>
      <c r="M14" s="130">
        <f t="shared" si="8"/>
        <v>7533535.7142857164</v>
      </c>
      <c r="N14" s="26"/>
      <c r="O14" s="178" t="s">
        <v>26</v>
      </c>
      <c r="P14" s="179"/>
      <c r="Q14" s="95">
        <v>3</v>
      </c>
    </row>
    <row r="15" spans="1:17" ht="15.75" thickBot="1" x14ac:dyDescent="0.35">
      <c r="A15" s="53">
        <v>10</v>
      </c>
      <c r="B15" s="28">
        <f t="shared" ref="B15" si="9">(14+(5*A15))</f>
        <v>64</v>
      </c>
      <c r="C15" s="28">
        <f>'Árlista 2025.01.01'!$C$16</f>
        <v>815</v>
      </c>
      <c r="D15" s="28">
        <f>A15*$P$5+$P$8</f>
        <v>219</v>
      </c>
      <c r="E15" s="28">
        <f t="shared" si="1"/>
        <v>150</v>
      </c>
      <c r="F15" s="29">
        <f t="shared" si="2"/>
        <v>432.79464285714289</v>
      </c>
      <c r="G15" s="29">
        <f t="shared" si="5"/>
        <v>0</v>
      </c>
      <c r="H15" s="29">
        <f>'Árlista 2025.01.01'!$C$19</f>
        <v>800</v>
      </c>
      <c r="I15" s="29">
        <f t="shared" si="6"/>
        <v>2416.7946428571431</v>
      </c>
      <c r="J15" s="108">
        <f>'Árlista 2025.01.01'!$C$5+'Árlista 2025.01.01'!$C$6*('Ajánlott Feladás'!A15-1)+'Árlista 2025.01.01'!$C$10+'Árlista 2025.01.01'!$C$8</f>
        <v>1822</v>
      </c>
      <c r="K15" s="131">
        <f t="shared" si="7"/>
        <v>594.79464285714312</v>
      </c>
      <c r="L15" s="119">
        <f t="shared" si="3"/>
        <v>594794.64285714307</v>
      </c>
      <c r="M15" s="131">
        <f t="shared" si="8"/>
        <v>7137535.7142857164</v>
      </c>
      <c r="N15" s="26"/>
      <c r="O15" s="180" t="s">
        <v>27</v>
      </c>
      <c r="P15" s="181"/>
      <c r="Q15" s="11">
        <f>SUM(Q11:Q14)</f>
        <v>9</v>
      </c>
    </row>
    <row r="16" spans="1:17" ht="15.75" thickBot="1" x14ac:dyDescent="0.35">
      <c r="A16" s="9"/>
      <c r="B16" s="9"/>
      <c r="C16" s="30"/>
      <c r="D16" s="30"/>
      <c r="E16" s="30"/>
      <c r="F16" s="30"/>
      <c r="G16" s="30"/>
      <c r="H16" s="30"/>
      <c r="I16" s="30"/>
      <c r="J16" s="30"/>
      <c r="K16" s="31"/>
      <c r="L16" s="32"/>
      <c r="M16" s="32"/>
      <c r="N16" s="9"/>
      <c r="O16" s="12" t="s">
        <v>28</v>
      </c>
      <c r="P16" s="182">
        <v>484730</v>
      </c>
      <c r="Q16" s="183"/>
    </row>
    <row r="17" spans="1:17" ht="15.75" thickBot="1" x14ac:dyDescent="0.35">
      <c r="A17" s="9"/>
      <c r="B17" s="9"/>
      <c r="C17" s="30"/>
      <c r="D17" s="30"/>
      <c r="E17" s="30"/>
      <c r="F17" s="30"/>
      <c r="G17" s="30"/>
      <c r="H17" s="30"/>
      <c r="I17" s="30"/>
      <c r="J17" s="158" t="s">
        <v>37</v>
      </c>
      <c r="K17" s="159"/>
      <c r="L17" s="160"/>
      <c r="M17" s="36">
        <v>1000</v>
      </c>
      <c r="N17" s="9"/>
      <c r="O17" s="9"/>
      <c r="P17" s="9"/>
      <c r="Q17" s="9"/>
    </row>
    <row r="18" spans="1:17" ht="15.75" thickBot="1" x14ac:dyDescent="0.35">
      <c r="A18" s="33" t="s">
        <v>36</v>
      </c>
      <c r="B18" s="34"/>
      <c r="C18" s="35"/>
      <c r="D18" s="35"/>
      <c r="E18" s="35"/>
      <c r="F18" s="33"/>
      <c r="G18" s="30"/>
      <c r="H18" s="30"/>
      <c r="I18" s="30"/>
      <c r="J18" s="30"/>
      <c r="K18" s="31"/>
      <c r="L18" s="32"/>
      <c r="M18" s="32"/>
      <c r="N18" s="9"/>
      <c r="O18" s="161" t="s">
        <v>29</v>
      </c>
      <c r="P18" s="162"/>
      <c r="Q18" s="163"/>
    </row>
    <row r="19" spans="1:17" ht="15" customHeight="1" x14ac:dyDescent="0.3">
      <c r="A19" s="37" t="s">
        <v>38</v>
      </c>
      <c r="B19" s="9"/>
      <c r="C19" s="30"/>
      <c r="D19" s="30"/>
      <c r="E19" s="30"/>
      <c r="F19" s="30"/>
      <c r="G19" s="30"/>
      <c r="H19" s="30"/>
      <c r="I19" s="30"/>
      <c r="J19" s="30"/>
      <c r="K19" s="31"/>
      <c r="L19" s="32"/>
      <c r="M19" s="32"/>
      <c r="N19" s="9"/>
      <c r="O19" s="149" t="s">
        <v>30</v>
      </c>
      <c r="P19" s="150"/>
      <c r="Q19" s="153">
        <v>0</v>
      </c>
    </row>
    <row r="20" spans="1:17" x14ac:dyDescent="0.3">
      <c r="A20" s="9" t="s">
        <v>39</v>
      </c>
      <c r="B20" s="9"/>
      <c r="C20" s="30"/>
      <c r="D20" s="30"/>
      <c r="E20" s="30"/>
      <c r="F20" s="30"/>
      <c r="G20" s="30"/>
      <c r="H20" s="30"/>
      <c r="I20" s="30"/>
      <c r="J20" s="30"/>
      <c r="K20" s="31"/>
      <c r="L20" s="32"/>
      <c r="M20" s="32"/>
      <c r="N20" s="9"/>
      <c r="O20" s="151"/>
      <c r="P20" s="152"/>
      <c r="Q20" s="154"/>
    </row>
    <row r="21" spans="1:17" ht="15" customHeight="1" x14ac:dyDescent="0.3">
      <c r="A21" s="9" t="s">
        <v>40</v>
      </c>
      <c r="B21" s="9"/>
      <c r="C21" s="30"/>
      <c r="D21" s="30"/>
      <c r="E21" s="30"/>
      <c r="F21" s="30"/>
      <c r="G21" s="30"/>
      <c r="H21" s="30"/>
      <c r="I21" s="30"/>
      <c r="J21" s="30"/>
      <c r="K21" s="31"/>
      <c r="L21" s="32"/>
      <c r="M21" s="32"/>
      <c r="N21" s="9"/>
      <c r="O21" s="155" t="s">
        <v>31</v>
      </c>
      <c r="P21" s="156"/>
      <c r="Q21" s="157">
        <v>0</v>
      </c>
    </row>
    <row r="22" spans="1:17" ht="16.5" x14ac:dyDescent="0.3">
      <c r="A22" s="74"/>
      <c r="B22" s="9"/>
      <c r="C22" s="30"/>
      <c r="D22" s="30"/>
      <c r="E22" s="30"/>
      <c r="F22" s="30"/>
      <c r="G22" s="30"/>
      <c r="H22" s="30"/>
      <c r="I22" s="30"/>
      <c r="J22" s="30"/>
      <c r="K22" s="31"/>
      <c r="L22" s="32"/>
      <c r="M22" s="32"/>
      <c r="N22" s="9"/>
      <c r="O22" s="155"/>
      <c r="P22" s="156"/>
      <c r="Q22" s="157"/>
    </row>
    <row r="23" spans="1:17" x14ac:dyDescent="0.3">
      <c r="A23" s="9" t="s">
        <v>41</v>
      </c>
      <c r="B23" s="9"/>
      <c r="C23" s="30"/>
      <c r="D23" s="30"/>
      <c r="E23" s="30"/>
      <c r="F23" s="30"/>
      <c r="G23" s="30"/>
      <c r="H23" s="30"/>
      <c r="I23" s="30"/>
      <c r="J23" s="30"/>
      <c r="K23" s="31"/>
      <c r="L23" s="32"/>
      <c r="M23" s="32"/>
      <c r="N23" s="9"/>
      <c r="O23" s="13" t="s">
        <v>32</v>
      </c>
      <c r="P23" s="14"/>
      <c r="Q23" s="15">
        <v>0</v>
      </c>
    </row>
    <row r="24" spans="1:17" x14ac:dyDescent="0.3">
      <c r="A24" s="9" t="s">
        <v>42</v>
      </c>
      <c r="B24" s="9"/>
      <c r="C24" s="30"/>
      <c r="D24" s="30"/>
      <c r="E24" s="30"/>
      <c r="F24" s="30"/>
      <c r="G24" s="30"/>
      <c r="H24" s="30"/>
      <c r="I24" s="30"/>
      <c r="J24" s="30"/>
      <c r="K24" s="31"/>
      <c r="L24" s="32"/>
      <c r="M24" s="32"/>
      <c r="N24" s="9"/>
      <c r="O24" s="16" t="s">
        <v>33</v>
      </c>
      <c r="P24" s="17"/>
      <c r="Q24" s="83">
        <v>0</v>
      </c>
    </row>
    <row r="25" spans="1:17" x14ac:dyDescent="0.3">
      <c r="A25" s="9" t="s">
        <v>43</v>
      </c>
      <c r="B25" s="9"/>
      <c r="C25" s="30"/>
      <c r="D25" s="30"/>
      <c r="E25" s="30"/>
      <c r="F25" s="30"/>
      <c r="G25" s="30"/>
      <c r="H25" s="30"/>
      <c r="I25" s="30"/>
      <c r="J25" s="30"/>
      <c r="K25" s="31"/>
      <c r="L25" s="32"/>
      <c r="M25" s="32"/>
      <c r="N25" s="9"/>
      <c r="O25" s="16" t="s">
        <v>34</v>
      </c>
      <c r="P25" s="17"/>
      <c r="Q25" s="18">
        <v>0</v>
      </c>
    </row>
    <row r="26" spans="1:17" x14ac:dyDescent="0.3">
      <c r="A26" s="9" t="s">
        <v>77</v>
      </c>
      <c r="B26" s="9"/>
      <c r="C26" s="30"/>
      <c r="D26" s="30"/>
      <c r="E26" s="30"/>
      <c r="F26" s="30"/>
      <c r="G26" s="30"/>
      <c r="H26" s="30"/>
      <c r="I26" s="30"/>
      <c r="J26" s="30"/>
      <c r="K26" s="31"/>
      <c r="L26" s="32"/>
      <c r="M26" s="32"/>
      <c r="N26" s="9"/>
      <c r="O26" s="16" t="s">
        <v>35</v>
      </c>
      <c r="P26" s="17"/>
      <c r="Q26" s="18">
        <v>0</v>
      </c>
    </row>
    <row r="27" spans="1:17" ht="15.75" thickBot="1" x14ac:dyDescent="0.35">
      <c r="A27" s="9"/>
      <c r="B27" s="9"/>
      <c r="C27" s="30"/>
      <c r="D27" s="30"/>
      <c r="E27" s="30"/>
      <c r="F27" s="30"/>
      <c r="G27" s="30"/>
      <c r="H27" s="30"/>
      <c r="I27" s="30"/>
      <c r="J27" s="30"/>
      <c r="K27" s="31"/>
      <c r="L27" s="32"/>
      <c r="M27" s="32"/>
      <c r="N27" s="9"/>
      <c r="O27" s="19" t="s">
        <v>27</v>
      </c>
      <c r="P27" s="20"/>
      <c r="Q27" s="21">
        <f>SUM(Q19:Q26)</f>
        <v>0</v>
      </c>
    </row>
    <row r="28" spans="1:17" x14ac:dyDescent="0.3">
      <c r="A28" s="9" t="s">
        <v>76</v>
      </c>
      <c r="B28" s="9"/>
      <c r="C28" s="30"/>
      <c r="D28" s="30"/>
      <c r="E28" s="30"/>
      <c r="F28" s="30"/>
      <c r="G28" s="30"/>
      <c r="H28" s="30"/>
      <c r="I28" s="30"/>
      <c r="J28" s="30"/>
      <c r="K28" s="31"/>
      <c r="L28" s="32"/>
      <c r="M28" s="32"/>
      <c r="N28" s="9"/>
      <c r="O28" s="9"/>
      <c r="P28" s="9"/>
      <c r="Q28" s="9"/>
    </row>
    <row r="29" spans="1:17" x14ac:dyDescent="0.3">
      <c r="A29" s="9" t="s">
        <v>75</v>
      </c>
      <c r="B29" s="9"/>
      <c r="C29" s="30"/>
      <c r="D29" s="30"/>
      <c r="E29" s="30"/>
      <c r="F29" s="30"/>
      <c r="G29" s="30"/>
      <c r="H29" s="30"/>
      <c r="I29" s="30"/>
      <c r="J29" s="30"/>
      <c r="K29" s="31"/>
      <c r="L29" s="32"/>
      <c r="M29" s="32"/>
      <c r="N29" s="9"/>
      <c r="O29" s="9"/>
      <c r="P29" s="9"/>
      <c r="Q29" s="9"/>
    </row>
  </sheetData>
  <mergeCells count="17">
    <mergeCell ref="J17:L17"/>
    <mergeCell ref="A4:B4"/>
    <mergeCell ref="C4:I4"/>
    <mergeCell ref="K4:M4"/>
    <mergeCell ref="O4:Q4"/>
    <mergeCell ref="O10:Q10"/>
    <mergeCell ref="O11:P11"/>
    <mergeCell ref="O12:P12"/>
    <mergeCell ref="O13:P13"/>
    <mergeCell ref="O14:P14"/>
    <mergeCell ref="O15:P15"/>
    <mergeCell ref="P16:Q16"/>
    <mergeCell ref="O18:Q18"/>
    <mergeCell ref="O19:P20"/>
    <mergeCell ref="Q19:Q20"/>
    <mergeCell ref="O21:P22"/>
    <mergeCell ref="Q21:Q22"/>
  </mergeCells>
  <conditionalFormatting sqref="K6:M15">
    <cfRule type="cellIs" dxfId="5" priority="1" operator="lessThan">
      <formula>0</formula>
    </cfRule>
    <cfRule type="cellIs" dxfId="4" priority="2" operator="greaterThanOrEqual">
      <formula>0</formula>
    </cfRule>
    <cfRule type="cellIs" dxfId="3" priority="4" operator="greaterThanOrEqual">
      <formula>0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AA12-663A-4BD1-9261-78276BEB7516}">
  <dimension ref="A1:R30"/>
  <sheetViews>
    <sheetView zoomScaleNormal="100" workbookViewId="0">
      <selection activeCell="M17" sqref="M17"/>
    </sheetView>
  </sheetViews>
  <sheetFormatPr defaultColWidth="8.85546875" defaultRowHeight="12.75" x14ac:dyDescent="0.2"/>
  <cols>
    <col min="1" max="1" width="11.28515625" style="44" customWidth="1"/>
    <col min="2" max="2" width="5.42578125" style="44" customWidth="1"/>
    <col min="3" max="3" width="8.7109375" style="48"/>
    <col min="4" max="4" width="11.42578125" style="48" bestFit="1" customWidth="1"/>
    <col min="5" max="5" width="12" style="48" bestFit="1" customWidth="1"/>
    <col min="6" max="6" width="11.42578125" style="48" bestFit="1" customWidth="1"/>
    <col min="7" max="7" width="12.28515625" style="48" bestFit="1" customWidth="1"/>
    <col min="8" max="8" width="15.42578125" style="48" bestFit="1" customWidth="1"/>
    <col min="9" max="9" width="10.85546875" style="48" customWidth="1"/>
    <col min="10" max="10" width="13.140625" style="48" customWidth="1"/>
    <col min="11" max="11" width="13.140625" style="49" bestFit="1" customWidth="1"/>
    <col min="12" max="12" width="17.85546875" style="50" customWidth="1"/>
    <col min="13" max="13" width="19.7109375" style="50" bestFit="1" customWidth="1"/>
    <col min="14" max="14" width="2.85546875" style="44" customWidth="1"/>
    <col min="15" max="15" width="19.5703125" style="44" customWidth="1"/>
    <col min="16" max="16" width="11.42578125" style="44" customWidth="1"/>
    <col min="17" max="16384" width="8.85546875" style="44"/>
  </cols>
  <sheetData>
    <row r="1" spans="1:18" ht="15" x14ac:dyDescent="0.3">
      <c r="A1" s="9"/>
      <c r="B1" s="9"/>
      <c r="C1" s="30"/>
      <c r="D1" s="30"/>
      <c r="E1" s="30"/>
      <c r="F1" s="30"/>
      <c r="G1" s="30"/>
      <c r="H1" s="30"/>
      <c r="I1" s="30"/>
      <c r="J1" s="30"/>
      <c r="K1" s="31"/>
      <c r="L1" s="32"/>
      <c r="M1" s="32"/>
      <c r="N1" s="9"/>
      <c r="O1" s="9"/>
      <c r="P1" s="9"/>
      <c r="Q1" s="9"/>
      <c r="R1" s="9"/>
    </row>
    <row r="2" spans="1:18" ht="15" x14ac:dyDescent="0.3">
      <c r="A2" s="9"/>
      <c r="B2" s="9"/>
      <c r="C2" s="30"/>
      <c r="D2" s="30"/>
      <c r="E2" s="30"/>
      <c r="F2" s="30"/>
      <c r="G2" s="30"/>
      <c r="H2" s="30"/>
      <c r="I2" s="30"/>
      <c r="J2" s="30"/>
      <c r="K2" s="31"/>
      <c r="L2" s="32"/>
      <c r="M2" s="32"/>
      <c r="N2" s="9"/>
      <c r="O2" s="9"/>
      <c r="P2" s="9"/>
      <c r="Q2" s="9"/>
      <c r="R2" s="9"/>
    </row>
    <row r="3" spans="1:18" ht="19.899999999999999" customHeight="1" thickBot="1" x14ac:dyDescent="0.35">
      <c r="A3" s="9"/>
      <c r="B3" s="9"/>
      <c r="C3" s="30"/>
      <c r="D3" s="30"/>
      <c r="E3" s="30"/>
      <c r="F3" s="30"/>
      <c r="G3" s="30"/>
      <c r="H3" s="30"/>
      <c r="I3" s="30"/>
      <c r="J3" s="30"/>
      <c r="K3" s="31"/>
      <c r="L3" s="32"/>
      <c r="M3" s="32"/>
      <c r="N3" s="9"/>
      <c r="O3" s="9"/>
      <c r="P3" s="9"/>
      <c r="Q3" s="9"/>
      <c r="R3" s="9"/>
    </row>
    <row r="4" spans="1:18" ht="35.25" customHeight="1" thickBot="1" x14ac:dyDescent="0.35">
      <c r="A4" s="164" t="s">
        <v>48</v>
      </c>
      <c r="B4" s="165"/>
      <c r="C4" s="166" t="s">
        <v>1</v>
      </c>
      <c r="D4" s="167"/>
      <c r="E4" s="167"/>
      <c r="F4" s="167"/>
      <c r="G4" s="168"/>
      <c r="H4" s="168"/>
      <c r="I4" s="169"/>
      <c r="J4" s="72" t="s">
        <v>2</v>
      </c>
      <c r="K4" s="204" t="s">
        <v>74</v>
      </c>
      <c r="L4" s="205"/>
      <c r="M4" s="206"/>
      <c r="N4" s="9"/>
      <c r="O4" s="173" t="s">
        <v>3</v>
      </c>
      <c r="P4" s="174"/>
      <c r="Q4" s="175"/>
      <c r="R4" s="9"/>
    </row>
    <row r="5" spans="1:18" ht="36" customHeight="1" thickBot="1" x14ac:dyDescent="0.35">
      <c r="A5" s="75" t="s">
        <v>4</v>
      </c>
      <c r="B5" s="40" t="s">
        <v>5</v>
      </c>
      <c r="C5" s="45" t="s">
        <v>6</v>
      </c>
      <c r="D5" s="38" t="s">
        <v>7</v>
      </c>
      <c r="E5" s="38" t="s">
        <v>8</v>
      </c>
      <c r="F5" s="38" t="s">
        <v>9</v>
      </c>
      <c r="G5" s="38" t="s">
        <v>10</v>
      </c>
      <c r="H5" s="39" t="s">
        <v>51</v>
      </c>
      <c r="I5" s="40" t="s">
        <v>11</v>
      </c>
      <c r="J5" s="54" t="s">
        <v>12</v>
      </c>
      <c r="K5" s="22" t="s">
        <v>13</v>
      </c>
      <c r="L5" s="46" t="s">
        <v>14</v>
      </c>
      <c r="M5" s="47" t="s">
        <v>15</v>
      </c>
      <c r="N5" s="9"/>
      <c r="O5" s="82" t="s">
        <v>16</v>
      </c>
      <c r="P5" s="2">
        <v>9</v>
      </c>
      <c r="Q5" s="3" t="s">
        <v>17</v>
      </c>
      <c r="R5" s="9"/>
    </row>
    <row r="6" spans="1:18" ht="15" x14ac:dyDescent="0.3">
      <c r="A6" s="51">
        <v>1</v>
      </c>
      <c r="B6" s="24">
        <f>(5+(5*A6))</f>
        <v>10</v>
      </c>
      <c r="C6" s="24">
        <f>'Árlista 2025.01.01'!$C$15</f>
        <v>270</v>
      </c>
      <c r="D6" s="24">
        <f t="shared" ref="D6:D11" si="0">A6*$P$5+$P$6</f>
        <v>29</v>
      </c>
      <c r="E6" s="24">
        <f t="shared" ref="E6:E15" si="1">A6*$P$7</f>
        <v>15</v>
      </c>
      <c r="F6" s="25">
        <f>(($P$16/10080)*$Q$15)</f>
        <v>432.79464285714289</v>
      </c>
      <c r="G6" s="25">
        <f>($Q$27/$M$17)</f>
        <v>0</v>
      </c>
      <c r="H6" s="25">
        <f>SUM('Árlista 2025.01.01'!$C$19+'Árlista 2025.01.01'!$C$20)</f>
        <v>1445</v>
      </c>
      <c r="I6" s="25">
        <f>SUM(C6:H6)</f>
        <v>2191.7946428571431</v>
      </c>
      <c r="J6" s="41">
        <f>'Árlista 2025.01.01'!$C$5+'Árlista 2025.01.01'!$C$6*('Ajánlott + Tértivevényes'!A6-1)+'Árlista 2025.01.01'!$C$11</f>
        <v>1794</v>
      </c>
      <c r="K6" s="129">
        <f>I6-J6</f>
        <v>397.79464285714312</v>
      </c>
      <c r="L6" s="117">
        <f t="shared" ref="L6:L15" si="2">(K6*$M$17)</f>
        <v>397794.64285714313</v>
      </c>
      <c r="M6" s="129">
        <f>(12*L6)</f>
        <v>4773535.7142857173</v>
      </c>
      <c r="N6" s="26"/>
      <c r="O6" s="4" t="s">
        <v>18</v>
      </c>
      <c r="P6" s="2">
        <v>20</v>
      </c>
      <c r="Q6" s="5" t="s">
        <v>17</v>
      </c>
      <c r="R6" s="9"/>
    </row>
    <row r="7" spans="1:18" ht="15" x14ac:dyDescent="0.3">
      <c r="A7" s="52">
        <v>2</v>
      </c>
      <c r="B7" s="23">
        <f t="shared" ref="B7:B11" si="3">(5+(5*A7))</f>
        <v>15</v>
      </c>
      <c r="C7" s="23">
        <f>'Árlista 2025.01.01'!$C$15</f>
        <v>270</v>
      </c>
      <c r="D7" s="23">
        <f t="shared" si="0"/>
        <v>38</v>
      </c>
      <c r="E7" s="23">
        <f t="shared" si="1"/>
        <v>30</v>
      </c>
      <c r="F7" s="27">
        <f t="shared" ref="F7:F15" si="4">(($P$16/10080)*$Q$15)</f>
        <v>432.79464285714289</v>
      </c>
      <c r="G7" s="27">
        <f t="shared" ref="G7:G15" si="5">($Q$27/$M$17)</f>
        <v>0</v>
      </c>
      <c r="H7" s="27">
        <f>SUM('Árlista 2025.01.01'!$C$19+'Árlista 2025.01.01'!$C$20)</f>
        <v>1445</v>
      </c>
      <c r="I7" s="27">
        <f t="shared" ref="I7:I15" si="6">SUM(C7:H7)</f>
        <v>2215.7946428571431</v>
      </c>
      <c r="J7" s="42">
        <f>'Árlista 2025.01.01'!$C$5+'Árlista 2025.01.01'!$C$6*('Ajánlott + Tértivevényes'!A7-1)+'Árlista 2025.01.01'!$C$11</f>
        <v>1851</v>
      </c>
      <c r="K7" s="130">
        <f t="shared" ref="K7:K15" si="7">I7-J7</f>
        <v>364.79464285714312</v>
      </c>
      <c r="L7" s="118">
        <f t="shared" si="2"/>
        <v>364794.64285714313</v>
      </c>
      <c r="M7" s="130">
        <f t="shared" ref="M7:M15" si="8">(12*L7)</f>
        <v>4377535.7142857173</v>
      </c>
      <c r="N7" s="26"/>
      <c r="O7" s="4" t="s">
        <v>19</v>
      </c>
      <c r="P7" s="2">
        <v>15</v>
      </c>
      <c r="Q7" s="5" t="s">
        <v>20</v>
      </c>
      <c r="R7" s="9"/>
    </row>
    <row r="8" spans="1:18" ht="15.75" thickBot="1" x14ac:dyDescent="0.35">
      <c r="A8" s="52">
        <v>3</v>
      </c>
      <c r="B8" s="23">
        <f t="shared" si="3"/>
        <v>20</v>
      </c>
      <c r="C8" s="23">
        <f>'Árlista 2025.01.01'!$C$15</f>
        <v>270</v>
      </c>
      <c r="D8" s="23">
        <f t="shared" si="0"/>
        <v>47</v>
      </c>
      <c r="E8" s="23">
        <f t="shared" si="1"/>
        <v>45</v>
      </c>
      <c r="F8" s="27">
        <f t="shared" si="4"/>
        <v>432.79464285714289</v>
      </c>
      <c r="G8" s="27">
        <f t="shared" si="5"/>
        <v>0</v>
      </c>
      <c r="H8" s="27">
        <f>SUM('Árlista 2025.01.01'!$C$19+'Árlista 2025.01.01'!$C$20)</f>
        <v>1445</v>
      </c>
      <c r="I8" s="27">
        <f t="shared" si="6"/>
        <v>2239.7946428571431</v>
      </c>
      <c r="J8" s="42">
        <f>'Árlista 2025.01.01'!$C$5+'Árlista 2025.01.01'!$C$6*('Ajánlott + Tértivevényes'!A8-1)+'Árlista 2025.01.01'!$C$11</f>
        <v>1908</v>
      </c>
      <c r="K8" s="130">
        <f t="shared" si="7"/>
        <v>331.79464285714312</v>
      </c>
      <c r="L8" s="118">
        <f t="shared" si="2"/>
        <v>331794.64285714313</v>
      </c>
      <c r="M8" s="130">
        <f t="shared" si="8"/>
        <v>3981535.7142857173</v>
      </c>
      <c r="N8" s="26"/>
      <c r="O8" s="6" t="s">
        <v>21</v>
      </c>
      <c r="P8" s="7">
        <v>129</v>
      </c>
      <c r="Q8" s="8" t="s">
        <v>17</v>
      </c>
      <c r="R8" s="9"/>
    </row>
    <row r="9" spans="1:18" ht="15.75" thickBot="1" x14ac:dyDescent="0.35">
      <c r="A9" s="52">
        <v>4</v>
      </c>
      <c r="B9" s="23">
        <f t="shared" si="3"/>
        <v>25</v>
      </c>
      <c r="C9" s="23">
        <f>'Árlista 2025.01.01'!$C$15</f>
        <v>270</v>
      </c>
      <c r="D9" s="23">
        <f t="shared" si="0"/>
        <v>56</v>
      </c>
      <c r="E9" s="23">
        <f t="shared" si="1"/>
        <v>60</v>
      </c>
      <c r="F9" s="27">
        <f t="shared" si="4"/>
        <v>432.79464285714289</v>
      </c>
      <c r="G9" s="27">
        <f t="shared" si="5"/>
        <v>0</v>
      </c>
      <c r="H9" s="27">
        <f>SUM('Árlista 2025.01.01'!$C$19+'Árlista 2025.01.01'!$C$20)</f>
        <v>1445</v>
      </c>
      <c r="I9" s="27">
        <f t="shared" si="6"/>
        <v>2263.7946428571431</v>
      </c>
      <c r="J9" s="42">
        <f>'Árlista 2025.01.01'!$C$5+'Árlista 2025.01.01'!$C$6*('Ajánlott + Tértivevényes'!A9-1)+'Árlista 2025.01.01'!$C$11</f>
        <v>1965</v>
      </c>
      <c r="K9" s="130">
        <f t="shared" si="7"/>
        <v>298.79464285714312</v>
      </c>
      <c r="L9" s="118">
        <f t="shared" si="2"/>
        <v>298794.64285714313</v>
      </c>
      <c r="M9" s="130">
        <f t="shared" si="8"/>
        <v>3585535.7142857173</v>
      </c>
      <c r="N9" s="26"/>
      <c r="O9" s="9"/>
      <c r="P9" s="9"/>
      <c r="Q9" s="9"/>
      <c r="R9" s="9"/>
    </row>
    <row r="10" spans="1:18" ht="15" x14ac:dyDescent="0.3">
      <c r="A10" s="52">
        <v>5</v>
      </c>
      <c r="B10" s="23">
        <f t="shared" si="3"/>
        <v>30</v>
      </c>
      <c r="C10" s="23">
        <f>'Árlista 2025.01.01'!$C$15</f>
        <v>270</v>
      </c>
      <c r="D10" s="23">
        <f t="shared" si="0"/>
        <v>65</v>
      </c>
      <c r="E10" s="23">
        <f t="shared" si="1"/>
        <v>75</v>
      </c>
      <c r="F10" s="27">
        <f t="shared" si="4"/>
        <v>432.79464285714289</v>
      </c>
      <c r="G10" s="27">
        <f t="shared" si="5"/>
        <v>0</v>
      </c>
      <c r="H10" s="27">
        <f>SUM('Árlista 2025.01.01'!$C$19+'Árlista 2025.01.01'!$C$20)</f>
        <v>1445</v>
      </c>
      <c r="I10" s="27">
        <f t="shared" si="6"/>
        <v>2287.7946428571431</v>
      </c>
      <c r="J10" s="42">
        <f>'Árlista 2025.01.01'!$C$5+'Árlista 2025.01.01'!$C$6*('Ajánlott + Tértivevényes'!A10-1)+'Árlista 2025.01.01'!$C$11</f>
        <v>2022</v>
      </c>
      <c r="K10" s="130">
        <f t="shared" si="7"/>
        <v>265.79464285714312</v>
      </c>
      <c r="L10" s="118">
        <f t="shared" si="2"/>
        <v>265794.64285714313</v>
      </c>
      <c r="M10" s="130">
        <f t="shared" si="8"/>
        <v>3189535.7142857173</v>
      </c>
      <c r="N10" s="26"/>
      <c r="O10" s="173" t="s">
        <v>22</v>
      </c>
      <c r="P10" s="174"/>
      <c r="Q10" s="175"/>
      <c r="R10" s="9"/>
    </row>
    <row r="11" spans="1:18" ht="15" x14ac:dyDescent="0.3">
      <c r="A11" s="52">
        <v>6</v>
      </c>
      <c r="B11" s="23">
        <f t="shared" si="3"/>
        <v>35</v>
      </c>
      <c r="C11" s="23">
        <f>'Árlista 2025.01.01'!$C$15</f>
        <v>270</v>
      </c>
      <c r="D11" s="23">
        <f t="shared" si="0"/>
        <v>74</v>
      </c>
      <c r="E11" s="23">
        <f t="shared" si="1"/>
        <v>90</v>
      </c>
      <c r="F11" s="27">
        <f t="shared" si="4"/>
        <v>432.79464285714289</v>
      </c>
      <c r="G11" s="27">
        <f t="shared" si="5"/>
        <v>0</v>
      </c>
      <c r="H11" s="27">
        <f>SUM('Árlista 2025.01.01'!$C$19+'Árlista 2025.01.01'!$C$20)</f>
        <v>1445</v>
      </c>
      <c r="I11" s="27">
        <f t="shared" si="6"/>
        <v>2311.7946428571431</v>
      </c>
      <c r="J11" s="42">
        <f>'Árlista 2025.01.01'!$C$5+'Árlista 2025.01.01'!$C$6*('Ajánlott + Tértivevényes'!A11-1)+'Árlista 2025.01.01'!$C$11</f>
        <v>2079</v>
      </c>
      <c r="K11" s="130">
        <f t="shared" si="7"/>
        <v>232.79464285714312</v>
      </c>
      <c r="L11" s="118">
        <f t="shared" si="2"/>
        <v>232794.64285714313</v>
      </c>
      <c r="M11" s="130">
        <f t="shared" si="8"/>
        <v>2793535.7142857173</v>
      </c>
      <c r="N11" s="26"/>
      <c r="O11" s="176" t="s">
        <v>23</v>
      </c>
      <c r="P11" s="177"/>
      <c r="Q11" s="10">
        <v>2</v>
      </c>
      <c r="R11" s="9"/>
    </row>
    <row r="12" spans="1:18" ht="15" x14ac:dyDescent="0.3">
      <c r="A12" s="52">
        <v>7</v>
      </c>
      <c r="B12" s="23">
        <f>(5+(5*A12))</f>
        <v>40</v>
      </c>
      <c r="C12" s="23">
        <f>'Árlista 2025.01.01'!$C$15</f>
        <v>270</v>
      </c>
      <c r="D12" s="23">
        <f>A12*$P$5+$P$6</f>
        <v>83</v>
      </c>
      <c r="E12" s="23">
        <f t="shared" si="1"/>
        <v>105</v>
      </c>
      <c r="F12" s="27">
        <f t="shared" si="4"/>
        <v>432.79464285714289</v>
      </c>
      <c r="G12" s="27">
        <f t="shared" si="5"/>
        <v>0</v>
      </c>
      <c r="H12" s="27">
        <f>SUM('Árlista 2025.01.01'!$C$19+'Árlista 2025.01.01'!$C$20)</f>
        <v>1445</v>
      </c>
      <c r="I12" s="27">
        <f>SUM(C12:H12)</f>
        <v>2335.7946428571431</v>
      </c>
      <c r="J12" s="42">
        <f>'Árlista 2025.01.01'!$C$5+'Árlista 2025.01.01'!$C$6*('Ajánlott + Tértivevényes'!A12-1)+'Árlista 2025.01.01'!$C$11</f>
        <v>2136</v>
      </c>
      <c r="K12" s="130">
        <f t="shared" si="7"/>
        <v>199.79464285714312</v>
      </c>
      <c r="L12" s="118">
        <f t="shared" si="2"/>
        <v>199794.64285714313</v>
      </c>
      <c r="M12" s="130">
        <f t="shared" si="8"/>
        <v>2397535.7142857173</v>
      </c>
      <c r="N12" s="26"/>
      <c r="O12" s="176" t="s">
        <v>24</v>
      </c>
      <c r="P12" s="177"/>
      <c r="Q12" s="10">
        <v>1</v>
      </c>
      <c r="R12" s="9"/>
    </row>
    <row r="13" spans="1:18" ht="15" x14ac:dyDescent="0.3">
      <c r="A13" s="52">
        <v>8</v>
      </c>
      <c r="B13" s="23">
        <f>(5+(5*A13))</f>
        <v>45</v>
      </c>
      <c r="C13" s="23">
        <f>'Árlista 2025.01.01'!$C$15</f>
        <v>270</v>
      </c>
      <c r="D13" s="23">
        <f>A13*$P$5+$P$6</f>
        <v>92</v>
      </c>
      <c r="E13" s="23">
        <f t="shared" si="1"/>
        <v>120</v>
      </c>
      <c r="F13" s="27">
        <f t="shared" si="4"/>
        <v>432.79464285714289</v>
      </c>
      <c r="G13" s="27">
        <f t="shared" si="5"/>
        <v>0</v>
      </c>
      <c r="H13" s="27">
        <f>SUM('Árlista 2025.01.01'!$C$19+'Árlista 2025.01.01'!$C$20)</f>
        <v>1445</v>
      </c>
      <c r="I13" s="27">
        <f t="shared" si="6"/>
        <v>2359.7946428571431</v>
      </c>
      <c r="J13" s="42">
        <f>'Árlista 2025.01.01'!$C$5+'Árlista 2025.01.01'!$C$6*('Ajánlott + Tértivevényes'!A13-1)+'Árlista 2025.01.01'!$C$11</f>
        <v>2193</v>
      </c>
      <c r="K13" s="130">
        <f t="shared" si="7"/>
        <v>166.79464285714312</v>
      </c>
      <c r="L13" s="118">
        <f t="shared" si="2"/>
        <v>166794.64285714313</v>
      </c>
      <c r="M13" s="130">
        <f t="shared" si="8"/>
        <v>2001535.7142857176</v>
      </c>
      <c r="N13" s="26"/>
      <c r="O13" s="176" t="s">
        <v>25</v>
      </c>
      <c r="P13" s="177"/>
      <c r="Q13" s="10">
        <v>3</v>
      </c>
      <c r="R13" s="9"/>
    </row>
    <row r="14" spans="1:18" ht="15.75" customHeight="1" thickBot="1" x14ac:dyDescent="0.35">
      <c r="A14" s="52">
        <v>9</v>
      </c>
      <c r="B14" s="23">
        <f>(14+(5*A14))</f>
        <v>59</v>
      </c>
      <c r="C14" s="23">
        <f>'Árlista 2025.01.01'!$C$16</f>
        <v>815</v>
      </c>
      <c r="D14" s="23">
        <f>A14*$P$5+$P$8</f>
        <v>210</v>
      </c>
      <c r="E14" s="23">
        <f t="shared" si="1"/>
        <v>135</v>
      </c>
      <c r="F14" s="27">
        <f t="shared" si="4"/>
        <v>432.79464285714289</v>
      </c>
      <c r="G14" s="27">
        <f t="shared" si="5"/>
        <v>0</v>
      </c>
      <c r="H14" s="27">
        <f>SUM('Árlista 2025.01.01'!$C$19+'Árlista 2025.01.01'!$C$20)</f>
        <v>1445</v>
      </c>
      <c r="I14" s="27">
        <f t="shared" si="6"/>
        <v>3037.7946428571431</v>
      </c>
      <c r="J14" s="42">
        <f>'Árlista 2025.01.01'!$C$5+'Árlista 2025.01.01'!$C$6*('Ajánlott + Tértivevényes'!A14-1)+'Árlista 2025.01.01'!$C$11+'Árlista 2025.01.01'!$C$8</f>
        <v>2410</v>
      </c>
      <c r="K14" s="130">
        <f t="shared" si="7"/>
        <v>627.79464285714312</v>
      </c>
      <c r="L14" s="118">
        <f t="shared" si="2"/>
        <v>627794.64285714307</v>
      </c>
      <c r="M14" s="130">
        <f t="shared" si="8"/>
        <v>7533535.7142857164</v>
      </c>
      <c r="N14" s="26"/>
      <c r="O14" s="178" t="s">
        <v>26</v>
      </c>
      <c r="P14" s="179"/>
      <c r="Q14" s="95">
        <v>3</v>
      </c>
      <c r="R14" s="9"/>
    </row>
    <row r="15" spans="1:18" ht="15.75" thickBot="1" x14ac:dyDescent="0.35">
      <c r="A15" s="53">
        <v>10</v>
      </c>
      <c r="B15" s="28">
        <f t="shared" ref="B15" si="9">(14+(5*A15))</f>
        <v>64</v>
      </c>
      <c r="C15" s="28">
        <f>'Árlista 2025.01.01'!$C$16</f>
        <v>815</v>
      </c>
      <c r="D15" s="28">
        <f>A15*$P$5+$P$8</f>
        <v>219</v>
      </c>
      <c r="E15" s="28">
        <f t="shared" si="1"/>
        <v>150</v>
      </c>
      <c r="F15" s="29">
        <f t="shared" si="4"/>
        <v>432.79464285714289</v>
      </c>
      <c r="G15" s="29">
        <f t="shared" si="5"/>
        <v>0</v>
      </c>
      <c r="H15" s="29">
        <f>SUM('Árlista 2025.01.01'!$C$19+'Árlista 2025.01.01'!$C$20)</f>
        <v>1445</v>
      </c>
      <c r="I15" s="29">
        <f t="shared" si="6"/>
        <v>3061.7946428571431</v>
      </c>
      <c r="J15" s="43">
        <f>'Árlista 2025.01.01'!$C$5+'Árlista 2025.01.01'!$C$6*('Ajánlott + Tértivevényes'!A15-1)+'Árlista 2025.01.01'!$C$11+'Árlista 2025.01.01'!$C$8</f>
        <v>2467</v>
      </c>
      <c r="K15" s="131">
        <f t="shared" si="7"/>
        <v>594.79464285714312</v>
      </c>
      <c r="L15" s="119">
        <f t="shared" si="2"/>
        <v>594794.64285714307</v>
      </c>
      <c r="M15" s="131">
        <f t="shared" si="8"/>
        <v>7137535.7142857164</v>
      </c>
      <c r="N15" s="26"/>
      <c r="O15" s="180" t="s">
        <v>27</v>
      </c>
      <c r="P15" s="181"/>
      <c r="Q15" s="11">
        <f>SUM(Q11:Q14)</f>
        <v>9</v>
      </c>
      <c r="R15" s="9"/>
    </row>
    <row r="16" spans="1:18" ht="15.75" thickBot="1" x14ac:dyDescent="0.35">
      <c r="A16" s="9"/>
      <c r="B16" s="9"/>
      <c r="C16" s="30"/>
      <c r="D16" s="30"/>
      <c r="E16" s="30"/>
      <c r="F16" s="30"/>
      <c r="G16" s="30"/>
      <c r="H16" s="30"/>
      <c r="I16" s="30"/>
      <c r="J16" s="30"/>
      <c r="K16" s="31"/>
      <c r="L16" s="32"/>
      <c r="M16" s="32"/>
      <c r="N16" s="9"/>
      <c r="O16" s="12" t="s">
        <v>28</v>
      </c>
      <c r="P16" s="182">
        <v>484730</v>
      </c>
      <c r="Q16" s="183"/>
      <c r="R16" s="9"/>
    </row>
    <row r="17" spans="1:18" ht="15.75" thickBot="1" x14ac:dyDescent="0.35">
      <c r="A17" s="9"/>
      <c r="B17" s="9"/>
      <c r="C17" s="30"/>
      <c r="D17" s="30"/>
      <c r="E17" s="30"/>
      <c r="F17" s="30"/>
      <c r="G17" s="30"/>
      <c r="H17" s="30"/>
      <c r="I17" s="30"/>
      <c r="J17" s="158" t="s">
        <v>37</v>
      </c>
      <c r="K17" s="159"/>
      <c r="L17" s="160"/>
      <c r="M17" s="36">
        <v>1000</v>
      </c>
      <c r="N17" s="9"/>
      <c r="O17" s="9"/>
      <c r="P17" s="9"/>
      <c r="Q17" s="9"/>
      <c r="R17" s="9"/>
    </row>
    <row r="18" spans="1:18" ht="15.75" thickBot="1" x14ac:dyDescent="0.35">
      <c r="A18" s="33" t="s">
        <v>36</v>
      </c>
      <c r="B18" s="34"/>
      <c r="C18" s="35"/>
      <c r="D18" s="35"/>
      <c r="E18" s="35"/>
      <c r="F18" s="33"/>
      <c r="G18" s="30"/>
      <c r="H18" s="30"/>
      <c r="I18" s="30"/>
      <c r="J18" s="30"/>
      <c r="K18" s="31"/>
      <c r="L18" s="32"/>
      <c r="M18" s="32"/>
      <c r="N18" s="9"/>
      <c r="O18" s="161" t="s">
        <v>29</v>
      </c>
      <c r="P18" s="162"/>
      <c r="Q18" s="163"/>
      <c r="R18" s="9"/>
    </row>
    <row r="19" spans="1:18" ht="15" customHeight="1" x14ac:dyDescent="0.3">
      <c r="A19" s="37" t="s">
        <v>38</v>
      </c>
      <c r="B19" s="9"/>
      <c r="C19" s="30"/>
      <c r="D19" s="30"/>
      <c r="E19" s="30"/>
      <c r="F19" s="30"/>
      <c r="G19" s="30"/>
      <c r="H19" s="30"/>
      <c r="I19" s="30"/>
      <c r="J19" s="30"/>
      <c r="K19" s="31"/>
      <c r="L19" s="32"/>
      <c r="M19" s="32"/>
      <c r="N19" s="9"/>
      <c r="O19" s="149" t="s">
        <v>30</v>
      </c>
      <c r="P19" s="150"/>
      <c r="Q19" s="153">
        <v>0</v>
      </c>
      <c r="R19" s="9"/>
    </row>
    <row r="20" spans="1:18" ht="15" x14ac:dyDescent="0.3">
      <c r="A20" s="9" t="s">
        <v>39</v>
      </c>
      <c r="B20" s="9"/>
      <c r="C20" s="30"/>
      <c r="D20" s="30"/>
      <c r="E20" s="30"/>
      <c r="F20" s="30"/>
      <c r="G20" s="30"/>
      <c r="H20" s="30"/>
      <c r="I20" s="30"/>
      <c r="J20" s="30"/>
      <c r="K20" s="31"/>
      <c r="L20" s="32"/>
      <c r="M20" s="32"/>
      <c r="N20" s="9"/>
      <c r="O20" s="151"/>
      <c r="P20" s="152"/>
      <c r="Q20" s="154"/>
      <c r="R20" s="9"/>
    </row>
    <row r="21" spans="1:18" ht="15" customHeight="1" x14ac:dyDescent="0.3">
      <c r="A21" s="9" t="s">
        <v>40</v>
      </c>
      <c r="B21" s="9"/>
      <c r="C21" s="30"/>
      <c r="D21" s="30"/>
      <c r="E21" s="30"/>
      <c r="F21" s="30"/>
      <c r="G21" s="30"/>
      <c r="H21" s="30"/>
      <c r="I21" s="30"/>
      <c r="J21" s="30"/>
      <c r="K21" s="31"/>
      <c r="L21" s="32"/>
      <c r="M21" s="32"/>
      <c r="N21" s="9"/>
      <c r="O21" s="155" t="s">
        <v>31</v>
      </c>
      <c r="P21" s="156"/>
      <c r="Q21" s="157">
        <v>0</v>
      </c>
      <c r="R21" s="9"/>
    </row>
    <row r="22" spans="1:18" ht="16.5" x14ac:dyDescent="0.3">
      <c r="A22" s="74"/>
      <c r="B22" s="9"/>
      <c r="C22" s="30"/>
      <c r="D22" s="30"/>
      <c r="E22" s="30"/>
      <c r="F22" s="30"/>
      <c r="G22" s="30"/>
      <c r="H22" s="30"/>
      <c r="I22" s="30"/>
      <c r="J22" s="30"/>
      <c r="K22" s="31"/>
      <c r="L22" s="32"/>
      <c r="M22" s="32"/>
      <c r="N22" s="9"/>
      <c r="O22" s="155"/>
      <c r="P22" s="156"/>
      <c r="Q22" s="157"/>
      <c r="R22" s="9"/>
    </row>
    <row r="23" spans="1:18" ht="15" x14ac:dyDescent="0.3">
      <c r="A23" s="9" t="s">
        <v>41</v>
      </c>
      <c r="B23" s="9"/>
      <c r="C23" s="30"/>
      <c r="D23" s="30"/>
      <c r="E23" s="30"/>
      <c r="F23" s="30"/>
      <c r="G23" s="30"/>
      <c r="H23" s="30"/>
      <c r="I23" s="30"/>
      <c r="J23" s="30"/>
      <c r="K23" s="31"/>
      <c r="L23" s="32"/>
      <c r="M23" s="32"/>
      <c r="N23" s="9"/>
      <c r="O23" s="13" t="s">
        <v>32</v>
      </c>
      <c r="P23" s="14"/>
      <c r="Q23" s="15">
        <v>0</v>
      </c>
      <c r="R23" s="9"/>
    </row>
    <row r="24" spans="1:18" ht="15" x14ac:dyDescent="0.3">
      <c r="A24" s="9" t="s">
        <v>42</v>
      </c>
      <c r="B24" s="9"/>
      <c r="C24" s="30"/>
      <c r="D24" s="30"/>
      <c r="E24" s="30"/>
      <c r="F24" s="30"/>
      <c r="G24" s="30"/>
      <c r="H24" s="30"/>
      <c r="I24" s="30"/>
      <c r="J24" s="30"/>
      <c r="K24" s="31"/>
      <c r="L24" s="32"/>
      <c r="M24" s="32"/>
      <c r="N24" s="9"/>
      <c r="O24" s="16" t="s">
        <v>33</v>
      </c>
      <c r="P24" s="17"/>
      <c r="Q24" s="83">
        <v>0</v>
      </c>
      <c r="R24" s="9"/>
    </row>
    <row r="25" spans="1:18" ht="15" x14ac:dyDescent="0.3">
      <c r="A25" s="9" t="s">
        <v>43</v>
      </c>
      <c r="B25" s="9"/>
      <c r="C25" s="30"/>
      <c r="D25" s="30"/>
      <c r="E25" s="30"/>
      <c r="F25" s="30"/>
      <c r="G25" s="30"/>
      <c r="H25" s="30"/>
      <c r="I25" s="30"/>
      <c r="J25" s="30"/>
      <c r="K25" s="31"/>
      <c r="L25" s="32"/>
      <c r="M25" s="32"/>
      <c r="N25" s="9"/>
      <c r="O25" s="16" t="s">
        <v>34</v>
      </c>
      <c r="P25" s="17"/>
      <c r="Q25" s="18">
        <v>0</v>
      </c>
      <c r="R25" s="9"/>
    </row>
    <row r="26" spans="1:18" ht="15" x14ac:dyDescent="0.3">
      <c r="A26" s="9" t="s">
        <v>77</v>
      </c>
      <c r="B26" s="9"/>
      <c r="C26" s="30"/>
      <c r="D26" s="30"/>
      <c r="E26" s="30"/>
      <c r="F26" s="30"/>
      <c r="G26" s="30"/>
      <c r="H26" s="30"/>
      <c r="I26" s="30"/>
      <c r="J26" s="30"/>
      <c r="K26" s="31"/>
      <c r="L26" s="32"/>
      <c r="M26" s="32"/>
      <c r="N26" s="9"/>
      <c r="O26" s="16" t="s">
        <v>35</v>
      </c>
      <c r="P26" s="17"/>
      <c r="Q26" s="18">
        <v>0</v>
      </c>
      <c r="R26" s="9"/>
    </row>
    <row r="27" spans="1:18" ht="15.75" thickBot="1" x14ac:dyDescent="0.35">
      <c r="A27" s="9"/>
      <c r="B27" s="9"/>
      <c r="C27" s="30"/>
      <c r="D27" s="30"/>
      <c r="E27" s="30"/>
      <c r="F27" s="30"/>
      <c r="G27" s="30"/>
      <c r="H27" s="30"/>
      <c r="I27" s="30"/>
      <c r="J27" s="30"/>
      <c r="K27" s="31"/>
      <c r="L27" s="32"/>
      <c r="M27" s="32"/>
      <c r="N27" s="9"/>
      <c r="O27" s="19" t="s">
        <v>27</v>
      </c>
      <c r="P27" s="20"/>
      <c r="Q27" s="21">
        <f>SUM(Q19:Q26)</f>
        <v>0</v>
      </c>
      <c r="R27" s="9"/>
    </row>
    <row r="28" spans="1:18" ht="15" x14ac:dyDescent="0.3">
      <c r="A28" s="9" t="s">
        <v>76</v>
      </c>
      <c r="B28" s="9"/>
      <c r="C28" s="30"/>
      <c r="D28" s="30"/>
      <c r="E28" s="30"/>
      <c r="F28" s="30"/>
      <c r="G28" s="30"/>
      <c r="H28" s="30"/>
      <c r="I28" s="30"/>
      <c r="J28" s="30"/>
      <c r="K28" s="31"/>
      <c r="L28" s="32"/>
      <c r="M28" s="32"/>
      <c r="N28" s="9"/>
      <c r="O28" s="9"/>
      <c r="P28" s="9"/>
      <c r="Q28" s="9"/>
      <c r="R28" s="9"/>
    </row>
    <row r="29" spans="1:18" ht="15" x14ac:dyDescent="0.3">
      <c r="A29" s="9" t="s">
        <v>75</v>
      </c>
      <c r="B29" s="9"/>
      <c r="C29" s="30"/>
      <c r="D29" s="30"/>
      <c r="E29" s="30"/>
      <c r="F29" s="30"/>
      <c r="G29" s="30"/>
      <c r="H29" s="30"/>
      <c r="I29" s="30"/>
      <c r="J29" s="30"/>
      <c r="K29" s="31"/>
      <c r="L29" s="32"/>
      <c r="M29" s="32"/>
      <c r="N29" s="9"/>
      <c r="O29" s="9"/>
      <c r="P29" s="9"/>
      <c r="Q29" s="9"/>
      <c r="R29" s="9"/>
    </row>
    <row r="30" spans="1:18" ht="15" x14ac:dyDescent="0.3">
      <c r="A30" s="9"/>
      <c r="B30" s="9"/>
      <c r="C30" s="30"/>
      <c r="D30" s="30"/>
      <c r="E30" s="30"/>
      <c r="F30" s="30"/>
      <c r="G30" s="30"/>
      <c r="H30" s="30"/>
      <c r="I30" s="30"/>
      <c r="J30" s="30"/>
      <c r="K30" s="31"/>
      <c r="L30" s="32"/>
      <c r="M30" s="32"/>
      <c r="N30" s="9"/>
      <c r="O30" s="9"/>
      <c r="P30" s="9"/>
      <c r="Q30" s="9"/>
      <c r="R30" s="9"/>
    </row>
  </sheetData>
  <mergeCells count="17">
    <mergeCell ref="J17:L17"/>
    <mergeCell ref="A4:B4"/>
    <mergeCell ref="C4:I4"/>
    <mergeCell ref="K4:M4"/>
    <mergeCell ref="O4:Q4"/>
    <mergeCell ref="O10:Q10"/>
    <mergeCell ref="O11:P11"/>
    <mergeCell ref="O12:P12"/>
    <mergeCell ref="O13:P13"/>
    <mergeCell ref="O14:P14"/>
    <mergeCell ref="O15:P15"/>
    <mergeCell ref="P16:Q16"/>
    <mergeCell ref="O18:Q18"/>
    <mergeCell ref="O19:P20"/>
    <mergeCell ref="Q19:Q20"/>
    <mergeCell ref="O21:P22"/>
    <mergeCell ref="Q21:Q22"/>
  </mergeCells>
  <conditionalFormatting sqref="K6:M15">
    <cfRule type="cellIs" dxfId="2" priority="1" operator="lessThan">
      <formula>0</formula>
    </cfRule>
    <cfRule type="cellIs" dxfId="1" priority="2" operator="greaterThanOrEqual">
      <formula>0</formula>
    </cfRule>
    <cfRule type="cellIs" dxfId="0" priority="4" operator="greaterThanOrEqual">
      <formula>0</formula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A7F8F-999D-485A-AA13-93E828426202}">
  <dimension ref="A1:J27"/>
  <sheetViews>
    <sheetView topLeftCell="A4" zoomScaleNormal="100" workbookViewId="0">
      <selection activeCell="C9" sqref="C9"/>
    </sheetView>
  </sheetViews>
  <sheetFormatPr defaultRowHeight="15.75" x14ac:dyDescent="0.25"/>
  <cols>
    <col min="1" max="1" width="53.28515625" style="55" customWidth="1"/>
    <col min="2" max="2" width="0.85546875" style="55" customWidth="1"/>
    <col min="3" max="3" width="25.7109375" style="55" customWidth="1"/>
    <col min="4" max="4" width="25.28515625" style="55" customWidth="1"/>
    <col min="5" max="5" width="2.85546875" customWidth="1"/>
    <col min="6" max="6" width="2.140625" hidden="1" customWidth="1"/>
    <col min="7" max="9" width="1.7109375" hidden="1" customWidth="1"/>
    <col min="10" max="10" width="34" hidden="1" customWidth="1"/>
  </cols>
  <sheetData>
    <row r="1" spans="1:9" ht="64.150000000000006" customHeight="1" thickBot="1" x14ac:dyDescent="0.3"/>
    <row r="2" spans="1:9" s="68" customFormat="1" ht="29.65" customHeight="1" thickBot="1" x14ac:dyDescent="0.35">
      <c r="A2" s="88" t="s">
        <v>52</v>
      </c>
      <c r="B2" s="71"/>
      <c r="C2" s="207" t="s">
        <v>53</v>
      </c>
      <c r="D2" s="208"/>
      <c r="E2" s="67"/>
      <c r="G2" s="209" t="s">
        <v>3</v>
      </c>
      <c r="H2" s="210"/>
      <c r="I2" s="211"/>
    </row>
    <row r="3" spans="1:9" s="68" customFormat="1" ht="39.4" customHeight="1" thickBot="1" x14ac:dyDescent="0.45">
      <c r="A3" s="88" t="s">
        <v>54</v>
      </c>
      <c r="B3" s="65"/>
      <c r="C3" s="66" t="s">
        <v>55</v>
      </c>
      <c r="D3" s="66" t="s">
        <v>56</v>
      </c>
      <c r="E3" s="67"/>
      <c r="G3" s="69" t="s">
        <v>16</v>
      </c>
      <c r="H3" s="2">
        <v>9</v>
      </c>
      <c r="I3" s="70" t="s">
        <v>17</v>
      </c>
    </row>
    <row r="4" spans="1:9" ht="16.149999999999999" customHeight="1" thickBot="1" x14ac:dyDescent="0.35">
      <c r="A4" s="56" t="s">
        <v>57</v>
      </c>
      <c r="B4" s="57"/>
      <c r="C4" s="57"/>
      <c r="D4" s="57"/>
      <c r="E4" s="1"/>
      <c r="G4" s="4" t="s">
        <v>18</v>
      </c>
      <c r="H4" s="2">
        <v>16</v>
      </c>
      <c r="I4" s="5" t="s">
        <v>17</v>
      </c>
    </row>
    <row r="5" spans="1:9" ht="63.75" thickBot="1" x14ac:dyDescent="0.35">
      <c r="A5" s="58" t="s">
        <v>58</v>
      </c>
      <c r="B5" s="59"/>
      <c r="C5" s="140">
        <v>349</v>
      </c>
      <c r="D5" s="141">
        <v>1420</v>
      </c>
      <c r="E5" s="1"/>
      <c r="G5" s="4" t="s">
        <v>19</v>
      </c>
      <c r="H5" s="2">
        <v>10</v>
      </c>
      <c r="I5" s="5" t="s">
        <v>20</v>
      </c>
    </row>
    <row r="6" spans="1:9" ht="32.25" thickBot="1" x14ac:dyDescent="0.35">
      <c r="A6" s="60" t="s">
        <v>59</v>
      </c>
      <c r="B6" s="59"/>
      <c r="C6" s="141">
        <v>57</v>
      </c>
      <c r="D6" s="141">
        <v>99</v>
      </c>
      <c r="E6" s="1"/>
      <c r="G6" s="6" t="s">
        <v>21</v>
      </c>
      <c r="H6" s="7">
        <v>129</v>
      </c>
      <c r="I6" s="8" t="s">
        <v>17</v>
      </c>
    </row>
    <row r="7" spans="1:9" ht="25.15" customHeight="1" thickBot="1" x14ac:dyDescent="0.35">
      <c r="A7" s="61" t="s">
        <v>60</v>
      </c>
      <c r="B7" s="59"/>
      <c r="C7" s="141">
        <v>31</v>
      </c>
      <c r="D7" s="141">
        <v>31</v>
      </c>
      <c r="E7" s="1"/>
      <c r="G7" s="9"/>
      <c r="H7" s="9"/>
      <c r="I7" s="9"/>
    </row>
    <row r="8" spans="1:9" ht="25.15" customHeight="1" thickBot="1" x14ac:dyDescent="0.3">
      <c r="A8" s="61" t="s">
        <v>61</v>
      </c>
      <c r="B8" s="62"/>
      <c r="C8" s="141">
        <v>160</v>
      </c>
      <c r="D8" s="141">
        <v>1800</v>
      </c>
      <c r="E8" s="1"/>
      <c r="G8" s="173" t="s">
        <v>62</v>
      </c>
      <c r="H8" s="174"/>
      <c r="I8" s="175"/>
    </row>
    <row r="9" spans="1:9" ht="25.15" customHeight="1" thickBot="1" x14ac:dyDescent="0.35">
      <c r="A9" s="61" t="s">
        <v>63</v>
      </c>
      <c r="B9" s="59"/>
      <c r="C9" s="141">
        <v>160</v>
      </c>
      <c r="D9" s="141">
        <v>345</v>
      </c>
      <c r="E9" s="1"/>
      <c r="G9" s="176" t="s">
        <v>23</v>
      </c>
      <c r="H9" s="177"/>
      <c r="I9" s="10">
        <v>2</v>
      </c>
    </row>
    <row r="10" spans="1:9" ht="25.15" customHeight="1" thickBot="1" x14ac:dyDescent="0.35">
      <c r="A10" s="61" t="s">
        <v>64</v>
      </c>
      <c r="B10" s="84"/>
      <c r="C10" s="141">
        <v>800</v>
      </c>
      <c r="D10" s="141">
        <v>2600</v>
      </c>
      <c r="E10" s="1"/>
      <c r="G10" s="176" t="s">
        <v>24</v>
      </c>
      <c r="H10" s="177"/>
      <c r="I10" s="10">
        <v>1</v>
      </c>
    </row>
    <row r="11" spans="1:9" ht="52.9" customHeight="1" thickBot="1" x14ac:dyDescent="0.35">
      <c r="A11" s="61" t="s">
        <v>65</v>
      </c>
      <c r="B11" s="86"/>
      <c r="C11" s="141">
        <v>1445</v>
      </c>
      <c r="D11" s="141">
        <v>3905</v>
      </c>
      <c r="E11" s="1"/>
      <c r="G11" s="176" t="s">
        <v>25</v>
      </c>
      <c r="H11" s="177"/>
      <c r="I11" s="10">
        <v>3</v>
      </c>
    </row>
    <row r="12" spans="1:9" ht="52.9" customHeight="1" thickBot="1" x14ac:dyDescent="0.35">
      <c r="A12" s="132"/>
      <c r="B12" s="133"/>
      <c r="C12" s="134"/>
      <c r="D12" s="134"/>
      <c r="G12" s="135" t="s">
        <v>66</v>
      </c>
      <c r="H12" s="136"/>
      <c r="I12" s="137">
        <v>3</v>
      </c>
    </row>
    <row r="13" spans="1:9" ht="40.9" customHeight="1" thickBot="1" x14ac:dyDescent="0.35">
      <c r="A13" s="63"/>
      <c r="B13" s="85"/>
      <c r="C13" s="64"/>
      <c r="G13" s="180" t="s">
        <v>27</v>
      </c>
      <c r="H13" s="181"/>
      <c r="I13" s="11">
        <f>SUM(I9:I12)</f>
        <v>9</v>
      </c>
    </row>
    <row r="14" spans="1:9" ht="21.75" thickBot="1" x14ac:dyDescent="0.35">
      <c r="A14" s="87" t="s">
        <v>67</v>
      </c>
      <c r="B14" s="59"/>
      <c r="C14" s="57"/>
      <c r="G14" s="12" t="s">
        <v>28</v>
      </c>
      <c r="H14" s="182">
        <v>313730</v>
      </c>
      <c r="I14" s="183"/>
    </row>
    <row r="15" spans="1:9" ht="17.25" thickBot="1" x14ac:dyDescent="0.35">
      <c r="A15" s="61" t="s">
        <v>68</v>
      </c>
      <c r="B15" s="59"/>
      <c r="C15" s="138">
        <v>270</v>
      </c>
      <c r="D15" s="64"/>
      <c r="G15" s="9"/>
      <c r="H15" s="9"/>
      <c r="I15" s="9"/>
    </row>
    <row r="16" spans="1:9" ht="17.25" thickBot="1" x14ac:dyDescent="0.35">
      <c r="A16" s="61" t="s">
        <v>69</v>
      </c>
      <c r="B16" s="59"/>
      <c r="C16" s="138">
        <v>815</v>
      </c>
      <c r="G16" s="161" t="s">
        <v>29</v>
      </c>
      <c r="H16" s="162"/>
      <c r="I16" s="163"/>
    </row>
    <row r="17" spans="1:9" ht="16.5" thickBot="1" x14ac:dyDescent="0.3">
      <c r="A17" s="61" t="s">
        <v>70</v>
      </c>
      <c r="B17" s="59"/>
      <c r="C17" s="138">
        <v>390</v>
      </c>
      <c r="G17" s="149" t="s">
        <v>30</v>
      </c>
      <c r="H17" s="150"/>
      <c r="I17" s="153">
        <v>0</v>
      </c>
    </row>
    <row r="18" spans="1:9" ht="16.5" thickBot="1" x14ac:dyDescent="0.3">
      <c r="A18" s="61" t="s">
        <v>71</v>
      </c>
      <c r="B18" s="59"/>
      <c r="C18" s="138">
        <v>1115</v>
      </c>
      <c r="G18" s="151"/>
      <c r="H18" s="152"/>
      <c r="I18" s="154"/>
    </row>
    <row r="19" spans="1:9" ht="16.5" thickBot="1" x14ac:dyDescent="0.3">
      <c r="A19" s="61" t="s">
        <v>72</v>
      </c>
      <c r="B19" s="59"/>
      <c r="C19" s="138">
        <v>800</v>
      </c>
      <c r="G19" s="155" t="s">
        <v>31</v>
      </c>
      <c r="H19" s="156"/>
      <c r="I19" s="157">
        <v>0</v>
      </c>
    </row>
    <row r="20" spans="1:9" ht="16.5" thickBot="1" x14ac:dyDescent="0.3">
      <c r="A20" s="61" t="s">
        <v>73</v>
      </c>
      <c r="B20" s="59"/>
      <c r="C20" s="139">
        <v>645</v>
      </c>
      <c r="G20" s="155"/>
      <c r="H20" s="156"/>
      <c r="I20" s="157"/>
    </row>
    <row r="21" spans="1:9" ht="16.5" x14ac:dyDescent="0.3">
      <c r="A21" s="63"/>
      <c r="G21" s="13" t="s">
        <v>32</v>
      </c>
      <c r="H21" s="14"/>
      <c r="I21" s="15">
        <v>0</v>
      </c>
    </row>
    <row r="22" spans="1:9" ht="16.5" x14ac:dyDescent="0.3">
      <c r="A22" s="63"/>
      <c r="G22" s="16" t="s">
        <v>33</v>
      </c>
      <c r="H22" s="17"/>
      <c r="I22" s="83">
        <v>0</v>
      </c>
    </row>
    <row r="23" spans="1:9" ht="16.5" x14ac:dyDescent="0.3">
      <c r="A23" s="63"/>
      <c r="G23" s="16" t="s">
        <v>34</v>
      </c>
      <c r="H23" s="17"/>
      <c r="I23" s="18">
        <v>0</v>
      </c>
    </row>
    <row r="24" spans="1:9" ht="16.5" x14ac:dyDescent="0.3">
      <c r="A24" s="63"/>
      <c r="G24" s="16" t="s">
        <v>35</v>
      </c>
      <c r="H24" s="17"/>
      <c r="I24" s="18">
        <v>0</v>
      </c>
    </row>
    <row r="25" spans="1:9" ht="17.25" thickBot="1" x14ac:dyDescent="0.35">
      <c r="A25" s="63"/>
      <c r="G25" s="19" t="s">
        <v>27</v>
      </c>
      <c r="H25" s="20"/>
      <c r="I25" s="21">
        <f>SUM(I17:I24)</f>
        <v>0</v>
      </c>
    </row>
    <row r="26" spans="1:9" x14ac:dyDescent="0.25">
      <c r="A26" s="63"/>
    </row>
    <row r="27" spans="1:9" x14ac:dyDescent="0.25">
      <c r="A27" s="63"/>
    </row>
  </sheetData>
  <mergeCells count="13">
    <mergeCell ref="C2:D2"/>
    <mergeCell ref="G2:I2"/>
    <mergeCell ref="G8:I8"/>
    <mergeCell ref="G9:H9"/>
    <mergeCell ref="G17:H18"/>
    <mergeCell ref="I17:I18"/>
    <mergeCell ref="G19:H20"/>
    <mergeCell ref="I19:I20"/>
    <mergeCell ref="G10:H10"/>
    <mergeCell ref="G11:H11"/>
    <mergeCell ref="G13:H13"/>
    <mergeCell ref="H14:I14"/>
    <mergeCell ref="G16:I16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F4E0431A768C04AA87CA9AA94D3345C" ma:contentTypeVersion="18" ma:contentTypeDescription="Új dokumentum létrehozása." ma:contentTypeScope="" ma:versionID="e7870137762a0199f81aad06e0aa8fc9">
  <xsd:schema xmlns:xsd="http://www.w3.org/2001/XMLSchema" xmlns:xs="http://www.w3.org/2001/XMLSchema" xmlns:p="http://schemas.microsoft.com/office/2006/metadata/properties" xmlns:ns2="46626853-6b9f-459c-987f-4810ac3f70d9" xmlns:ns3="dd3f6e3a-011a-4c2c-8c86-2b805d83508f" targetNamespace="http://schemas.microsoft.com/office/2006/metadata/properties" ma:root="true" ma:fieldsID="46713efcb7b1577e7ceb3f1555f3c9a9" ns2:_="" ns3:_="">
    <xsd:import namespace="46626853-6b9f-459c-987f-4810ac3f70d9"/>
    <xsd:import namespace="dd3f6e3a-011a-4c2c-8c86-2b805d8350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26853-6b9f-459c-987f-4810ac3f7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9a929d72-03c4-4c4f-8e1f-2ffa569dd5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f6e3a-011a-4c2c-8c86-2b805d83508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e5b2e3-0d7c-46a9-97dc-3a0507390ddd}" ma:internalName="TaxCatchAll" ma:showField="CatchAllData" ma:web="dd3f6e3a-011a-4c2c-8c86-2b805d8350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626853-6b9f-459c-987f-4810ac3f70d9">
      <Terms xmlns="http://schemas.microsoft.com/office/infopath/2007/PartnerControls"/>
    </lcf76f155ced4ddcb4097134ff3c332f>
    <TaxCatchAll xmlns="dd3f6e3a-011a-4c2c-8c86-2b805d83508f" xsi:nil="true"/>
  </documentManagement>
</p:properties>
</file>

<file path=customXml/itemProps1.xml><?xml version="1.0" encoding="utf-8"?>
<ds:datastoreItem xmlns:ds="http://schemas.openxmlformats.org/officeDocument/2006/customXml" ds:itemID="{F61920E4-B0EE-4CAB-A5CD-B95063A931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F51202-DB30-41F5-ACE0-B73002953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626853-6b9f-459c-987f-4810ac3f70d9"/>
    <ds:schemaRef ds:uri="dd3f6e3a-011a-4c2c-8c86-2b805d8350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1D7E90-BE5A-45DA-A2DB-863741BD079D}">
  <ds:schemaRefs>
    <ds:schemaRef ds:uri="http://schemas.microsoft.com/office/2006/metadata/properties"/>
    <ds:schemaRef ds:uri="http://schemas.microsoft.com/office/infopath/2007/PartnerControls"/>
    <ds:schemaRef ds:uri="46626853-6b9f-459c-987f-4810ac3f70d9"/>
    <ds:schemaRef ds:uri="dd3f6e3a-011a-4c2c-8c86-2b805d8350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Normál feladás</vt:lpstr>
      <vt:lpstr>Színes nyomtatás</vt:lpstr>
      <vt:lpstr>Elsőbbségi Feladás</vt:lpstr>
      <vt:lpstr>Ajánlott Feladás</vt:lpstr>
      <vt:lpstr>Ajánlott + Tértivevényes</vt:lpstr>
      <vt:lpstr>Árlista 2025.01.01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Lilla</dc:creator>
  <cp:keywords/>
  <dc:description/>
  <cp:lastModifiedBy>Gajdács Nándor</cp:lastModifiedBy>
  <cp:revision/>
  <dcterms:created xsi:type="dcterms:W3CDTF">2019-12-05T11:59:34Z</dcterms:created>
  <dcterms:modified xsi:type="dcterms:W3CDTF">2025-01-20T14:49:25Z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0x0101005F4E0431A768C04AA87CA9AA94D3345C</vt:lpwstr>
  </property>
  <property fmtid="{D5CDD505-2E9C-101B-9397-08002B2CF9AE}" pid="3" name="WorkbookGuid">
    <vt:lpwstr>ea66ab81-e598-4f9c-bf07-9ed84dbf79a1</vt:lpwstr>
  </property>
  <property fmtid="{D5CDD505-2E9C-101B-9397-08002B2CF9AE}" pid="4" name="MediaServiceImageTags">
    <vt:lpwstr/>
  </property>
</Properties>
</file>